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sTjEZWoRbvCxQkz1oasV+zP8GltbA6d2Nnv2etUEI5uMaSM1Kwk1QFY/TLNw4mfL+Wj0KbbvRgfNVP9YmgJ2aw==" workbookSaltValue="7JAt0p6pVWMlLSlpw3S0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U12" i="11"/>
  <c r="L20" i="20"/>
  <c r="U16" i="11"/>
  <c r="AI20" i="20"/>
  <c r="AF20" i="20"/>
  <c r="AX20" i="20"/>
  <c r="AZ20" i="20"/>
  <c r="AG20" i="20"/>
  <c r="AC20" i="20"/>
  <c r="Q20" i="20"/>
  <c r="U10" i="11"/>
  <c r="Z20" i="20"/>
  <c r="AA20" i="20"/>
  <c r="M20" i="20"/>
  <c r="F20" i="20"/>
  <c r="O20" i="20"/>
  <c r="AU20" i="20"/>
  <c r="W20" i="21"/>
  <c r="X20" i="20"/>
  <c r="AH20" i="20"/>
  <c r="AQ20" i="20"/>
  <c r="W20" i="20"/>
  <c r="AK20" i="20"/>
  <c r="AQ20" i="21"/>
  <c r="AI19" i="8" l="1"/>
  <c r="F17" i="16"/>
  <c r="BL17" i="16" s="1"/>
  <c r="AM19" i="8"/>
  <c r="AC19" i="8"/>
  <c r="AK19" i="8"/>
  <c r="AA19" i="8"/>
  <c r="BG12" i="8"/>
  <c r="BE12" i="8"/>
  <c r="I12" i="7" s="1"/>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L19" i="11"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<sst xmlns="http://schemas.openxmlformats.org/spreadsheetml/2006/main" count="2094" uniqueCount="913">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</sst>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2SGT0mAtk+DYOlW3b8H0bx3gArYO2LbWwu19peqtc3oAE5HikQgAA6Flmf4HJtlyOkxvhwNuOlFOB+5a8BPJg==" saltValue="jrG7cXeUmc2U2Y5tS9an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13</v>
      </c>
      <c r="F10" s="229">
        <f>IF(ISNUMBER(Datos!K10),Datos!K10," - ")</f>
        <v>7</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34.887029288702927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13</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571</v>
      </c>
      <c r="D16" s="228">
        <f>IF(ISNUMBER(IF(D_I="SI",Datos!I16,Datos!I16+Datos!AC16)),IF(D_I="SI",Datos!I16,Datos!I16+Datos!AC16)," - ")</f>
        <v>551</v>
      </c>
      <c r="E16" s="229">
        <f>IF(ISNUMBER(IF(D_I="SI",Datos!J16,Datos!J16+Datos!AD16)),IF(D_I="SI",Datos!J16,Datos!J16+Datos!AD16)," - ")</f>
        <v>749</v>
      </c>
      <c r="F16" s="229">
        <f>IF(ISNUMBER(IF(D_I="SI",Datos!K16,Datos!K16+Datos!AE16)),IF(D_I="SI",Datos!K16,Datos!K16+Datos!AE16)," - ")</f>
        <v>668</v>
      </c>
      <c r="G16" s="1037" t="str">
        <f>IF(Datos!E16&lt;&gt;"",Datos!E16,Datos!D16)</f>
        <v>04</v>
      </c>
      <c r="H16" s="230">
        <f>IF(ISNUMBER(IF(D_I="SI",Datos!L16,Datos!L16+Datos!AF16)),IF(D_I="SI",Datos!L16,Datos!L16+Datos!AF16)," - ")</f>
        <v>652</v>
      </c>
      <c r="I16" s="1047" t="str">
        <f>IF(ISNUMBER(Datos!AS16/Datos!BM16),Datos!AS16/Datos!BM16," - ")</f>
        <v xml:space="preserve"> - </v>
      </c>
      <c r="J16" s="1048">
        <f>IF(ISNUMBER(Datos!BY16/Datos!CN16),Datos!BY16/Datos!CN16," - ")</f>
        <v>0</v>
      </c>
      <c r="K16" s="233">
        <f t="shared" si="3"/>
        <v>0.14185639229422067</v>
      </c>
      <c r="L16" s="1028">
        <f>IF(ISNUMBER(NºAsuntos!I16/NºAsuntos!G16),(NºAsuntos!I16/NºAsuntos!G16)*11," - ")</f>
        <v>10.736526946107785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44</v>
      </c>
      <c r="D17" s="228">
        <f>IF(ISNUMBER(IF(D_I="SI",Datos!I17,Datos!I17+Datos!AC17)),IF(D_I="SI",Datos!I17,Datos!I17+Datos!AC17)," - ")</f>
        <v>44</v>
      </c>
      <c r="E17" s="229">
        <f>IF(ISNUMBER(IF(D_I="SI",Datos!J17,Datos!J17+Datos!AD17)),IF(D_I="SI",Datos!J17,Datos!J17+Datos!AD17)," - ")</f>
        <v>75</v>
      </c>
      <c r="F17" s="229">
        <f>IF(ISNUMBER(IF(D_I="SI",Datos!K17,Datos!K17+Datos!AE17)),IF(D_I="SI",Datos!K17,Datos!K17+Datos!AE17)," - ")</f>
        <v>74</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2.2727272727272728E-2</v>
      </c>
      <c r="L17" s="1028">
        <f>IF(ISNUMBER(NºAsuntos!I17/NºAsuntos!G17),(NºAsuntos!I17/NºAsuntos!G17)*11," - ")</f>
        <v>6.6891891891891895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615</v>
      </c>
      <c r="D18" s="1052">
        <f>SUBTOTAL(9,D15:D17)</f>
        <v>595</v>
      </c>
      <c r="E18" s="1053">
        <f>SUBTOTAL(9,E15:E17)</f>
        <v>824</v>
      </c>
      <c r="F18" s="1053">
        <f>SUBTOTAL(9,F15:F17)</f>
        <v>742</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651</v>
      </c>
      <c r="D19" s="1074">
        <f>SUBTOTAL(9,D9:D18)</f>
        <v>631</v>
      </c>
      <c r="E19" s="1075">
        <f>SUBTOTAL(9,E9:E18)</f>
        <v>837</v>
      </c>
      <c r="F19" s="1075">
        <f>SUBTOTAL(9,F9:F18)</f>
        <v>749</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BhsKDDCXwzqHCMOaCcl4dGaIxpO9Hgh0FjVbv24AdOxDYcdRVcsEOeh6q2phEepM2LbwIIzyw71Cl5SoivshA==" saltValue="g+veRbeYjRcWK/TZH9nRz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kpf07YlKRkW0nO5xBri3aBRsCATLnkNCsuXUEwjgo75R8t/deKTGXgyZptlyVz36VDta6+EewBvpzYcQJN7WA==" saltValue="NtutvIUwJj1p1AcTOJ+T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36</v>
      </c>
      <c r="J10" s="184">
        <v>13</v>
      </c>
      <c r="K10" s="184">
        <v>7</v>
      </c>
      <c r="L10" s="184">
        <v>42</v>
      </c>
      <c r="M10" s="184">
        <v>2</v>
      </c>
      <c r="N10" s="184">
        <v>4</v>
      </c>
      <c r="O10" s="184">
        <v>1</v>
      </c>
      <c r="P10" s="184">
        <v>0</v>
      </c>
      <c r="Q10" s="184">
        <v>1</v>
      </c>
      <c r="R10" s="184">
        <v>11</v>
      </c>
      <c r="S10" s="184">
        <v>38</v>
      </c>
      <c r="T10" s="184">
        <v>8</v>
      </c>
      <c r="U10" s="184">
        <v>10</v>
      </c>
      <c r="V10" s="184">
        <v>36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38</v>
      </c>
      <c r="AZ10" s="129">
        <f t="shared" si="0"/>
        <v>8</v>
      </c>
      <c r="BA10" s="129">
        <f t="shared" si="0"/>
        <v>10</v>
      </c>
      <c r="BB10" s="129">
        <f t="shared" si="0"/>
        <v>36</v>
      </c>
      <c r="BC10" s="125">
        <f t="shared" si="0"/>
        <v>0</v>
      </c>
      <c r="BD10" s="126">
        <f>IF(ISNUMBER(BA10/AZ10),BA10/AZ10," - ")</f>
        <v>1.25</v>
      </c>
      <c r="BE10" s="127">
        <f>IF(ISNUMBER(BB10/BA10),BB10/BA10, " - ")</f>
        <v>3.6</v>
      </c>
      <c r="BF10" s="127">
        <f>IF(ISNUMBER(BC10/BA10),BC10/BA10, " - ")</f>
        <v>0</v>
      </c>
      <c r="BG10" s="199">
        <f>IF(ISNUMBER((AY10+AZ10)/BA10),(AY10+AZ10)/BA10," - ")</f>
        <v>4.5999999999999996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1433</v>
      </c>
      <c r="J12" s="186">
        <v>499</v>
      </c>
      <c r="K12" s="186">
        <v>436</v>
      </c>
      <c r="L12" s="186">
        <v>1496</v>
      </c>
      <c r="M12" s="186">
        <v>122</v>
      </c>
      <c r="N12" s="186">
        <v>230</v>
      </c>
      <c r="O12" s="184">
        <v>182</v>
      </c>
      <c r="P12" s="186">
        <v>87</v>
      </c>
      <c r="Q12" s="186">
        <v>80</v>
      </c>
      <c r="R12" s="186">
        <v>2785</v>
      </c>
      <c r="S12" s="186">
        <v>1052</v>
      </c>
      <c r="T12" s="186">
        <v>516</v>
      </c>
      <c r="U12" s="186">
        <v>469</v>
      </c>
      <c r="V12" s="186">
        <v>1099</v>
      </c>
      <c r="W12" s="186">
        <v>91</v>
      </c>
      <c r="X12" s="192">
        <v>158</v>
      </c>
      <c r="Y12" s="194">
        <v>39</v>
      </c>
      <c r="Z12" s="184">
        <v>23</v>
      </c>
      <c r="AA12" s="184">
        <v>42</v>
      </c>
      <c r="AB12" s="184">
        <v>20</v>
      </c>
      <c r="AC12" s="186">
        <v>0</v>
      </c>
      <c r="AD12" s="186">
        <v>0</v>
      </c>
      <c r="AE12" s="186">
        <v>0</v>
      </c>
      <c r="AF12" s="192">
        <v>0</v>
      </c>
      <c r="AG12" s="205">
        <v>43</v>
      </c>
      <c r="AH12" s="186">
        <v>41</v>
      </c>
      <c r="AI12" s="186">
        <v>37</v>
      </c>
      <c r="AJ12" s="206">
        <v>47</v>
      </c>
      <c r="AK12" s="185">
        <v>0</v>
      </c>
      <c r="AL12" s="186">
        <v>0</v>
      </c>
      <c r="AM12" s="186">
        <v>0</v>
      </c>
      <c r="AN12" s="192">
        <v>0</v>
      </c>
      <c r="AO12" s="262">
        <v>3</v>
      </c>
      <c r="AP12" s="158">
        <v>3</v>
      </c>
      <c r="AQ12" s="158">
        <v>3</v>
      </c>
      <c r="AR12" s="157">
        <v>3</v>
      </c>
      <c r="AS12" s="343" t="s">
        <v>807</v>
      </c>
      <c r="AT12" s="206"/>
      <c r="AU12" s="205"/>
      <c r="AV12" s="206"/>
      <c r="AW12" s="205"/>
      <c r="AX12" s="206"/>
      <c r="AY12" s="126">
        <f t="shared" si="1"/>
        <v>1095</v>
      </c>
      <c r="AZ12" s="127">
        <f t="shared" si="1"/>
        <v>557</v>
      </c>
      <c r="BA12" s="127">
        <f t="shared" si="1"/>
        <v>506</v>
      </c>
      <c r="BB12" s="127">
        <f t="shared" si="1"/>
        <v>1146</v>
      </c>
      <c r="BC12" s="125">
        <f>IF(ISNUMBER(X12),X12," - ")</f>
        <v>158</v>
      </c>
      <c r="BD12" s="126">
        <f t="shared" si="2"/>
        <v>0.90843806104129265</v>
      </c>
      <c r="BE12" s="127">
        <f t="shared" si="3"/>
        <v>2.2648221343873516</v>
      </c>
      <c r="BF12" s="127">
        <f t="shared" si="4"/>
        <v>0.31225296442687744</v>
      </c>
      <c r="BG12" s="199">
        <f t="shared" si="5"/>
        <v>3.2648221343873516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1469</v>
      </c>
      <c r="J13" s="187">
        <f t="shared" si="6"/>
        <v>512</v>
      </c>
      <c r="K13" s="187">
        <f t="shared" si="6"/>
        <v>443</v>
      </c>
      <c r="L13" s="187">
        <f t="shared" si="6"/>
        <v>1538</v>
      </c>
      <c r="M13" s="187">
        <f t="shared" si="6"/>
        <v>124</v>
      </c>
      <c r="N13" s="187">
        <f t="shared" si="6"/>
        <v>234</v>
      </c>
      <c r="O13" s="187">
        <f t="shared" si="6"/>
        <v>183</v>
      </c>
      <c r="P13" s="187">
        <f t="shared" si="6"/>
        <v>87</v>
      </c>
      <c r="Q13" s="187">
        <f t="shared" si="6"/>
        <v>81</v>
      </c>
      <c r="R13" s="187">
        <f t="shared" si="6"/>
        <v>2796</v>
      </c>
      <c r="S13" s="187">
        <f t="shared" si="6"/>
        <v>1090</v>
      </c>
      <c r="T13" s="187">
        <f t="shared" si="6"/>
        <v>524</v>
      </c>
      <c r="U13" s="187">
        <f t="shared" si="6"/>
        <v>479</v>
      </c>
      <c r="V13" s="187">
        <f t="shared" si="6"/>
        <v>1135</v>
      </c>
      <c r="W13" s="187">
        <f t="shared" si="6"/>
        <v>91</v>
      </c>
      <c r="X13" s="187">
        <f t="shared" si="6"/>
        <v>158</v>
      </c>
      <c r="Y13" s="187">
        <f t="shared" si="6"/>
        <v>39</v>
      </c>
      <c r="Z13" s="187">
        <f t="shared" si="6"/>
        <v>23</v>
      </c>
      <c r="AA13" s="187">
        <f t="shared" si="6"/>
        <v>42</v>
      </c>
      <c r="AB13" s="187">
        <f t="shared" si="6"/>
        <v>20</v>
      </c>
      <c r="AC13" s="187">
        <f t="shared" si="6"/>
        <v>0</v>
      </c>
      <c r="AD13" s="187">
        <f t="shared" si="6"/>
        <v>0</v>
      </c>
      <c r="AE13" s="187">
        <f t="shared" si="6"/>
        <v>0</v>
      </c>
      <c r="AF13" s="187">
        <f>SUBTOTAL(9,AF9:AF12)</f>
        <v>0</v>
      </c>
      <c r="AG13" s="187">
        <f t="shared" ref="AG13:AT13" si="7">SUBTOTAL(9,AG8:AG12)</f>
        <v>43</v>
      </c>
      <c r="AH13" s="187">
        <f t="shared" si="7"/>
        <v>41</v>
      </c>
      <c r="AI13" s="187">
        <f t="shared" si="7"/>
        <v>37</v>
      </c>
      <c r="AJ13" s="187">
        <f t="shared" si="7"/>
        <v>47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1133</v>
      </c>
      <c r="AZ13" s="187">
        <f>SUBTOTAL(9,AZ8:AZ12)</f>
        <v>565</v>
      </c>
      <c r="BA13" s="187">
        <f>SUBTOTAL(9,BA8:BA12)</f>
        <v>516</v>
      </c>
      <c r="BB13" s="187">
        <f>SUBTOTAL(9,BB8:BB12)</f>
        <v>1182</v>
      </c>
      <c r="BC13" s="187">
        <f>SUBTOTAL(9,BC8:BC12)</f>
        <v>158</v>
      </c>
      <c r="BD13" s="208">
        <f>IF(ISNUMBER(BA13/AZ13),BA13/AZ13," - ")</f>
        <v>0.91327433628318588</v>
      </c>
      <c r="BE13" s="209">
        <f>IF(ISNUMBER(BB13/BA13),BB13/BA13, " - ")</f>
        <v>2.2906976744186047</v>
      </c>
      <c r="BF13" s="209">
        <f>IF(ISNUMBER(BC13/BA13),BC13/BA13, " - ")</f>
        <v>0.30620155038759689</v>
      </c>
      <c r="BG13" s="210">
        <f>IF(ISNUMBER((AY13+AZ13)/BA13),(AY13+AZ13)/BA13," - ")</f>
        <v>3.2906976744186047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551</v>
      </c>
      <c r="J16" s="186">
        <v>749</v>
      </c>
      <c r="K16" s="186">
        <v>668</v>
      </c>
      <c r="L16" s="186">
        <v>652</v>
      </c>
      <c r="M16" s="186">
        <v>72</v>
      </c>
      <c r="N16" s="186">
        <v>444</v>
      </c>
      <c r="O16" s="184">
        <v>0</v>
      </c>
      <c r="P16" s="186">
        <v>9</v>
      </c>
      <c r="Q16" s="186">
        <v>18</v>
      </c>
      <c r="R16" s="186">
        <v>77</v>
      </c>
      <c r="S16" s="186">
        <v>560</v>
      </c>
      <c r="T16" s="186">
        <v>442</v>
      </c>
      <c r="U16" s="186">
        <v>464</v>
      </c>
      <c r="V16" s="186">
        <v>546</v>
      </c>
      <c r="W16" s="186">
        <v>88</v>
      </c>
      <c r="X16" s="192">
        <v>227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560</v>
      </c>
      <c r="AZ16" s="127">
        <f t="shared" si="9"/>
        <v>442</v>
      </c>
      <c r="BA16" s="127">
        <f t="shared" si="9"/>
        <v>464</v>
      </c>
      <c r="BB16" s="127">
        <f t="shared" si="9"/>
        <v>546</v>
      </c>
      <c r="BC16" s="125">
        <f>IF(ISNUMBER(W16),W16," - ")</f>
        <v>88</v>
      </c>
      <c r="BD16" s="126">
        <f t="shared" ref="BD16" si="11">IF(ISNUMBER(BA16/AZ16),BA16/AZ16," - ")</f>
        <v>1.0497737556561086</v>
      </c>
      <c r="BE16" s="127">
        <f t="shared" ref="BE16" si="12">IF(ISNUMBER(BB16/BA16),BB16/BA16, " - ")</f>
        <v>1.1767241379310345</v>
      </c>
      <c r="BF16" s="127">
        <f t="shared" ref="BF16" si="13">IF(ISNUMBER(BC16/BA16),BC16/BA16, " - ")</f>
        <v>0.18965517241379309</v>
      </c>
      <c r="BG16" s="199">
        <f t="shared" si="10"/>
        <v>2.1594827586206895</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44</v>
      </c>
      <c r="J17" s="186">
        <v>75</v>
      </c>
      <c r="K17" s="186">
        <v>74</v>
      </c>
      <c r="L17" s="186">
        <v>45</v>
      </c>
      <c r="M17" s="186">
        <v>18</v>
      </c>
      <c r="N17" s="186">
        <v>47</v>
      </c>
      <c r="O17" s="186">
        <v>0</v>
      </c>
      <c r="P17" s="186">
        <v>1</v>
      </c>
      <c r="Q17" s="186">
        <v>2</v>
      </c>
      <c r="R17" s="186">
        <v>1</v>
      </c>
      <c r="S17" s="186">
        <v>23</v>
      </c>
      <c r="T17" s="186">
        <v>68</v>
      </c>
      <c r="U17" s="186">
        <v>69</v>
      </c>
      <c r="V17" s="186">
        <v>22</v>
      </c>
      <c r="W17" s="186">
        <v>8</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v>
      </c>
      <c r="AZ17" s="129">
        <f t="shared" si="14"/>
        <v>68</v>
      </c>
      <c r="BA17" s="129">
        <f t="shared" si="14"/>
        <v>69</v>
      </c>
      <c r="BB17" s="129">
        <f t="shared" si="14"/>
        <v>22</v>
      </c>
      <c r="BC17" s="125">
        <f>IF(ISNUMBER(W17),W17," - ")</f>
        <v>8</v>
      </c>
      <c r="BD17" s="126">
        <f>IF(ISNUMBER(BA17/AZ17),BA17/AZ17," - ")</f>
        <v>1.0147058823529411</v>
      </c>
      <c r="BE17" s="127">
        <f>IF(ISNUMBER(BB17/BA17),BB17/BA17, " - ")</f>
        <v>0.3188405797101449</v>
      </c>
      <c r="BF17" s="127">
        <f>IF(ISNUMBER(BC17/BA17),BC17/BA17, " - ")</f>
        <v>0.11594202898550725</v>
      </c>
      <c r="BG17" s="199">
        <f>IF(ISNUMBER((AY17+AZ17)/BA17),(AY17+AZ17)/BA17," - ")</f>
        <v>1.318840579710145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595</v>
      </c>
      <c r="J18" s="187">
        <f t="shared" si="15"/>
        <v>824</v>
      </c>
      <c r="K18" s="187">
        <f t="shared" si="15"/>
        <v>742</v>
      </c>
      <c r="L18" s="187">
        <f t="shared" si="15"/>
        <v>697</v>
      </c>
      <c r="M18" s="187">
        <f t="shared" si="15"/>
        <v>90</v>
      </c>
      <c r="N18" s="187">
        <f t="shared" si="15"/>
        <v>491</v>
      </c>
      <c r="O18" s="187">
        <f t="shared" si="15"/>
        <v>0</v>
      </c>
      <c r="P18" s="187">
        <f t="shared" si="15"/>
        <v>10</v>
      </c>
      <c r="Q18" s="187">
        <f t="shared" si="15"/>
        <v>20</v>
      </c>
      <c r="R18" s="187">
        <f t="shared" si="15"/>
        <v>78</v>
      </c>
      <c r="S18" s="187">
        <f t="shared" si="15"/>
        <v>583</v>
      </c>
      <c r="T18" s="187">
        <f t="shared" si="15"/>
        <v>510</v>
      </c>
      <c r="U18" s="187">
        <f t="shared" si="15"/>
        <v>533</v>
      </c>
      <c r="V18" s="187">
        <f t="shared" si="15"/>
        <v>568</v>
      </c>
      <c r="W18" s="187">
        <f t="shared" si="15"/>
        <v>96</v>
      </c>
      <c r="X18" s="187">
        <f t="shared" si="15"/>
        <v>266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583</v>
      </c>
      <c r="AZ18" s="187">
        <f>SUBTOTAL(9,AZ14:AZ17)</f>
        <v>510</v>
      </c>
      <c r="BA18" s="187">
        <f>SUBTOTAL(9,BA14:BA17)</f>
        <v>533</v>
      </c>
      <c r="BB18" s="187">
        <f>SUBTOTAL(9,BB14:BB17)</f>
        <v>568</v>
      </c>
      <c r="BC18" s="187">
        <f>SUBTOTAL(9,BC14:BC17)</f>
        <v>96</v>
      </c>
      <c r="BD18" s="208">
        <f>IF(ISNUMBER(BA18/AZ18),BA18/AZ18," - ")</f>
        <v>1.0450980392156863</v>
      </c>
      <c r="BE18" s="209">
        <f>IF(ISNUMBER(BB18/BA18),BB18/BA18, " - ")</f>
        <v>1.0656660412757974</v>
      </c>
      <c r="BF18" s="209">
        <f>IF(ISNUMBER(BC18/BA18),BC18/BA18, " - ")</f>
        <v>0.1801125703564728</v>
      </c>
      <c r="BG18" s="210">
        <f>IF(ISNUMBER((AY18+AZ18)/BA18),(AY18+AZ18)/BA18," - ")</f>
        <v>2.0506566604127578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2064</v>
      </c>
      <c r="J19" s="134">
        <f t="shared" si="18"/>
        <v>1336</v>
      </c>
      <c r="K19" s="134">
        <f t="shared" si="18"/>
        <v>1185</v>
      </c>
      <c r="L19" s="134">
        <f t="shared" si="18"/>
        <v>2235</v>
      </c>
      <c r="M19" s="134">
        <f t="shared" si="18"/>
        <v>214</v>
      </c>
      <c r="N19" s="134">
        <f t="shared" si="18"/>
        <v>725</v>
      </c>
      <c r="O19" s="134">
        <f t="shared" si="18"/>
        <v>183</v>
      </c>
      <c r="P19" s="134">
        <f t="shared" si="18"/>
        <v>97</v>
      </c>
      <c r="Q19" s="134">
        <f t="shared" si="18"/>
        <v>101</v>
      </c>
      <c r="R19" s="134">
        <f t="shared" si="18"/>
        <v>2874</v>
      </c>
      <c r="S19" s="134">
        <f t="shared" si="18"/>
        <v>1673</v>
      </c>
      <c r="T19" s="134">
        <f t="shared" si="18"/>
        <v>1034</v>
      </c>
      <c r="U19" s="134">
        <f t="shared" si="18"/>
        <v>1012</v>
      </c>
      <c r="V19" s="134">
        <f t="shared" si="18"/>
        <v>1703</v>
      </c>
      <c r="W19" s="134">
        <f t="shared" si="18"/>
        <v>187</v>
      </c>
      <c r="X19" s="134">
        <f t="shared" si="18"/>
        <v>424</v>
      </c>
      <c r="Y19" s="134">
        <f t="shared" si="18"/>
        <v>39</v>
      </c>
      <c r="Z19" s="134">
        <f t="shared" si="18"/>
        <v>23</v>
      </c>
      <c r="AA19" s="134">
        <f t="shared" si="18"/>
        <v>42</v>
      </c>
      <c r="AB19" s="134">
        <f t="shared" si="18"/>
        <v>20</v>
      </c>
      <c r="AC19" s="134">
        <f t="shared" si="18"/>
        <v>0</v>
      </c>
      <c r="AD19" s="134">
        <f t="shared" si="18"/>
        <v>0</v>
      </c>
      <c r="AE19" s="134">
        <f t="shared" si="18"/>
        <v>0</v>
      </c>
      <c r="AF19" s="134">
        <f t="shared" si="18"/>
        <v>0</v>
      </c>
      <c r="AG19" s="134">
        <f t="shared" si="18"/>
        <v>43</v>
      </c>
      <c r="AH19" s="134">
        <f t="shared" si="18"/>
        <v>41</v>
      </c>
      <c r="AI19" s="134">
        <f t="shared" si="18"/>
        <v>37</v>
      </c>
      <c r="AJ19" s="134">
        <f t="shared" si="18"/>
        <v>47</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1716</v>
      </c>
      <c r="AZ19" s="134">
        <f>SUBTOTAL(9,AZ9:AZ18)</f>
        <v>1075</v>
      </c>
      <c r="BA19" s="134">
        <f>SUBTOTAL(9,BA9:BA18)</f>
        <v>1049</v>
      </c>
      <c r="BB19" s="134">
        <f>SUBTOTAL(9,BB9:BB18)</f>
        <v>1750</v>
      </c>
      <c r="BC19" s="135">
        <f>SUBTOTAL(9,BC9:BC18)</f>
        <v>254</v>
      </c>
      <c r="BD19" s="216">
        <f>IF(ISNUMBER(BA19/AZ19),BA19/AZ19," - ")</f>
        <v>0.97581395348837208</v>
      </c>
      <c r="BE19" s="213">
        <f>IF(ISNUMBER(BB19/BA19),BB19/BA19, " - ")</f>
        <v>1.6682554814108674</v>
      </c>
      <c r="BF19" s="213">
        <f>IF(ISNUMBER(BC19/BA19),BC19/BA19, " - ")</f>
        <v>0.24213536701620592</v>
      </c>
      <c r="BG19" s="135">
        <f>IF(ISNUMBER((AY19+AZ19)/BA19),(AY19+AZ19)/BA19," - ")</f>
        <v>2.6606291706387037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T4wsqZDz2J6dK8wOI7hxa79P70jFcJotRsKlXlzWIj2nBQ5zgfAjNTSWgPe6S/E2saxc4KHo+XFsVTog70o6A==" saltValue="A0vZGbDVoykTGogFB2mE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VAxu5HxaskeJ7s/4HuOQMuz21A0XkzeXFix5JdU6Ast66MhpN0klQoeMZ+s4zo6g+8rrxgF9lB+cZgYgP2Ew==" saltValue="WWav4X6EhKdkkBr/nvTO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HUERCAL-OVERA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1</v>
      </c>
      <c r="AD10" s="337"/>
      <c r="AE10" s="487"/>
      <c r="AF10" s="335">
        <f>IF(ISNUMBER(Datos!L10),Datos!L10,"-")</f>
        <v>42</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4</v>
      </c>
      <c r="BE10" s="232" t="str">
        <f>IF(ISNUMBER(Datos!BW10),Datos!BW10," - ")</f>
        <v xml:space="preserve"> - </v>
      </c>
      <c r="BF10" s="231" t="str">
        <f>IF(ISNUMBER(Datos!BX10),Datos!BX10," - ")</f>
        <v xml:space="preserve"> - </v>
      </c>
      <c r="BG10" s="246">
        <f>IF(ISNUMBER(Datos!K10/Datos!J10),Datos!K10/Datos!J10," - ")</f>
        <v>0.53846153846153844</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-8.3333333333333329E-2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2785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122</v>
      </c>
      <c r="BD12" s="232">
        <f>IF(ISNUMBER(Datos!N12),Datos!N12," - ")</f>
        <v>230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0.91570881226053635</v>
      </c>
      <c r="BH12" s="263">
        <f>IF(ISNUMBER(((IF(J_V="SI",Datos!L12/Datos!K12,(Datos!L12+Datos!AB12)/(Datos!K12+Datos!AA12)))*11)/factor_trimestre),((IF(J_V="SI",Datos!L12/Datos!K12,(Datos!L12+Datos!AB12)/(Datos!K12+Datos!AA12)))*11)/factor_trimestre," - ")</f>
        <v>9.514644351464435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2.5197984161267097E-3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81</v>
      </c>
      <c r="AD13" s="902">
        <f t="shared" si="1"/>
        <v>0</v>
      </c>
      <c r="AE13" s="902">
        <f t="shared" si="1"/>
        <v>0</v>
      </c>
      <c r="AF13" s="902">
        <f t="shared" si="1"/>
        <v>42</v>
      </c>
      <c r="AG13" s="902">
        <f t="shared" si="1"/>
        <v>0</v>
      </c>
      <c r="AH13" s="902">
        <f t="shared" si="1"/>
        <v>20</v>
      </c>
      <c r="AI13" s="902">
        <f t="shared" si="1"/>
        <v>0</v>
      </c>
      <c r="AJ13" s="902">
        <f t="shared" si="1"/>
        <v>0</v>
      </c>
      <c r="AK13" s="902">
        <f t="shared" si="1"/>
        <v>0</v>
      </c>
      <c r="AL13" s="902">
        <f t="shared" si="1"/>
        <v>0</v>
      </c>
      <c r="AM13" s="902">
        <f t="shared" si="1"/>
        <v>2796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124</v>
      </c>
      <c r="BD13" s="902">
        <f t="shared" si="1"/>
        <v>234</v>
      </c>
      <c r="BE13" s="902">
        <f t="shared" si="1"/>
        <v>0</v>
      </c>
      <c r="BF13" s="902">
        <f t="shared" si="1"/>
        <v>0</v>
      </c>
      <c r="BG13" s="902">
        <f>IF(ISNUMBER(Datos!K13/Datos!J13),Datos!K13/Datos!J13," - ")</f>
        <v>0.865234375</v>
      </c>
      <c r="BH13" s="906">
        <f>IF(ISNUMBER(((Datos!L13/Datos!K13)*11)/factor_trimestre),((Datos!L13/Datos!K13)*11)/factor_trimestre," - ")</f>
        <v>10.415349887133184</v>
      </c>
      <c r="BI13" s="902">
        <f>IF(ISNUMBER('Resol  Asuntos'!D13/NºAsuntos!G13),'Resol  Asuntos'!D13/NºAsuntos!G13," - ")</f>
        <v>0.25567010309278349</v>
      </c>
      <c r="BJ13" s="902" t="str">
        <f>IF(ISNUMBER(Datos!CI13/Datos!CJ13),Datos!CI13/Datos!CJ13," - ")</f>
        <v xml:space="preserve"> - </v>
      </c>
      <c r="BK13" s="902">
        <f>SUBTOTAL(9,BK8:BK12)</f>
        <v>0</v>
      </c>
      <c r="BL13" s="902">
        <f>IF(ISNUMBER((I13-AB13+L13)/(F13)),(I13-AB13+L13)/(F13)," - ")</f>
        <v>-0.19444444444444445</v>
      </c>
      <c r="BM13" s="907">
        <f>SUBTOTAL(9,BM9:BM12)</f>
        <v>-8.0813534917206623E-2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571</v>
      </c>
      <c r="G16" s="601">
        <f>IF(ISNUMBER(IF(D_I="SI",Datos!I16,Datos!I16+Datos!AC16)),IF(D_I="SI",Datos!I16,Datos!I16+Datos!AC16)," - ")</f>
        <v>551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668</v>
      </c>
      <c r="AC16" s="229">
        <f>IF(ISNUMBER(Datos!Q16),Datos!Q16," - ")</f>
        <v>18</v>
      </c>
      <c r="AD16" s="337"/>
      <c r="AE16" s="487"/>
      <c r="AF16" s="599">
        <f>IF(ISNUMBER(IF(D_I="SI",Datos!L16,Datos!L16+Datos!AF16)),IF(D_I="SI",Datos!L16,Datos!L16+Datos!AF16)," - ")</f>
        <v>652</v>
      </c>
      <c r="AG16" s="337"/>
      <c r="AH16" s="337"/>
      <c r="AI16" s="337"/>
      <c r="AJ16" s="337"/>
      <c r="AK16" s="337"/>
      <c r="AL16" s="482"/>
      <c r="AM16" s="338">
        <f>IF(ISNUMBER(Datos!R16),Datos!R16," - ")</f>
        <v>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444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0.89185580774365825</v>
      </c>
      <c r="BH16" s="263">
        <f>IF(ISNUMBER(((IF(D_I="SI",Datos!L16/Datos!K16,(Datos!L16+Datos!AF16)/(Datos!K16+Datos!AE16)))*11)/factor_trimestre),((IF(D_I="SI",Datos!L16/Datos!K16,(Datos!L16+Datos!AF16)/(Datos!K16+Datos!AE16)))*11)/factor_trimestre," - ")</f>
        <v>2.9281437125748506</v>
      </c>
      <c r="BI16" s="246">
        <f>IF(ISNUMBER('Resol  Asuntos'!D16/NºAsuntos!G16),'Resol  Asuntos'!D16/NºAsuntos!G16," - ")</f>
        <v>0.10778443113772455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74</v>
      </c>
      <c r="AC17" s="229">
        <f>IF(ISNUMBER(Datos!Q17),Datos!Q17," - ")</f>
        <v>2</v>
      </c>
      <c r="AD17" s="337"/>
      <c r="AE17" s="487"/>
      <c r="AF17" s="335">
        <f>IF(ISNUMBER(Datos!L17),Datos!L17,"-")</f>
        <v>45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0.98666666666666669</v>
      </c>
      <c r="BH17" s="263">
        <f>IF(ISNUMBER(((IF(D_I="SI",Datos!L17/Datos!K17,(Datos!L17+Datos!AF17)/(Datos!K17+Datos!AE17)))*11)/factor_trimestre),((IF(D_I="SI",Datos!L17/Datos!K17,(Datos!L17+Datos!AF17)/(Datos!K17+Datos!AE17)))*11)/factor_trimestre," - ")</f>
        <v>1.8243243243243246</v>
      </c>
      <c r="BI17" s="246">
        <f>IF(ISNUMBER('Resol  Asuntos'!D17/NºAsuntos!G17),'Resol  Asuntos'!D17/NºAsuntos!G17," - ")</f>
        <v>0.24324324324324326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571</v>
      </c>
      <c r="G18" s="901">
        <f>SUBTOTAL(9,G15:G17)</f>
        <v>595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742</v>
      </c>
      <c r="AC18" s="902">
        <f t="shared" si="4"/>
        <v>20</v>
      </c>
      <c r="AD18" s="902">
        <f t="shared" si="4"/>
        <v>0</v>
      </c>
      <c r="AE18" s="902">
        <f t="shared" si="4"/>
        <v>0</v>
      </c>
      <c r="AF18" s="902">
        <f t="shared" si="4"/>
        <v>697</v>
      </c>
      <c r="AG18" s="902">
        <f t="shared" si="4"/>
        <v>0</v>
      </c>
      <c r="AH18" s="902">
        <f t="shared" si="4"/>
        <v>0</v>
      </c>
      <c r="AI18" s="902">
        <f t="shared" si="4"/>
        <v>0</v>
      </c>
      <c r="AJ18" s="902">
        <f t="shared" si="4"/>
        <v>0</v>
      </c>
      <c r="AK18" s="902">
        <f t="shared" si="4"/>
        <v>0</v>
      </c>
      <c r="AL18" s="902">
        <f t="shared" si="4"/>
        <v>0</v>
      </c>
      <c r="AM18" s="902">
        <f t="shared" si="4"/>
        <v>78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90</v>
      </c>
      <c r="BD18" s="902">
        <f t="shared" si="4"/>
        <v>491</v>
      </c>
      <c r="BE18" s="902">
        <f t="shared" si="4"/>
        <v>0</v>
      </c>
      <c r="BF18" s="902">
        <f t="shared" si="4"/>
        <v>0</v>
      </c>
      <c r="BG18" s="902">
        <f>IF(ISNUMBER(Datos!K18/Datos!J18),Datos!K18/Datos!J18," - ")</f>
        <v>0.90048543689320393</v>
      </c>
      <c r="BH18" s="906">
        <f>IF(ISNUMBER(((Datos!L18/Datos!K18)*11)/factor_trimestre),((Datos!L18/Datos!K18)*11)/factor_trimestre," - ")</f>
        <v>2.8180592991913751</v>
      </c>
      <c r="BI18" s="902">
        <f>SUBTOTAL(9,BI15:BI17)</f>
        <v>0.35102767438096782</v>
      </c>
      <c r="BJ18" s="902">
        <f>SUBTOTAL(9,BJ15:BJ17)</f>
        <v>0</v>
      </c>
      <c r="BK18" s="902">
        <f>SUBTOTAL(9,BK15:BK17)</f>
        <v>0</v>
      </c>
      <c r="BL18" s="902">
        <f>IF(ISNUMBER((I18-AB18+L18)/(F18)),(I18-AB18+L18)/(F18)," - ")</f>
        <v>-1.299474605954466</v>
      </c>
      <c r="BM18" s="908">
        <f>IF(ISNUMBER((Datos!P18-Datos!Q18)/(Datos!R18-Datos!P18+Datos!Q18)),(Datos!P18-Datos!Q18)/(Datos!R18-Datos!P18+Datos!Q18)," - ")</f>
        <v>-0.11363636363636363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607</v>
      </c>
      <c r="G19" s="823">
        <f t="shared" si="6"/>
        <v>631</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749</v>
      </c>
      <c r="AC19" s="824">
        <f t="shared" si="7"/>
        <v>101</v>
      </c>
      <c r="AD19" s="824">
        <f t="shared" si="7"/>
        <v>0</v>
      </c>
      <c r="AE19" s="824">
        <f t="shared" si="7"/>
        <v>0</v>
      </c>
      <c r="AF19" s="831">
        <f t="shared" si="7"/>
        <v>739</v>
      </c>
      <c r="AG19" s="831">
        <f t="shared" si="7"/>
        <v>0</v>
      </c>
      <c r="AH19" s="831">
        <f t="shared" si="7"/>
        <v>20</v>
      </c>
      <c r="AI19" s="831">
        <f t="shared" si="7"/>
        <v>0</v>
      </c>
      <c r="AJ19" s="824">
        <f t="shared" si="7"/>
        <v>0</v>
      </c>
      <c r="AK19" s="831">
        <f t="shared" si="7"/>
        <v>0</v>
      </c>
      <c r="AL19" s="831">
        <f t="shared" si="7"/>
        <v>0</v>
      </c>
      <c r="AM19" s="831">
        <f t="shared" si="7"/>
        <v>2874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214</v>
      </c>
      <c r="BD19" s="823">
        <f t="shared" si="7"/>
        <v>725</v>
      </c>
      <c r="BE19" s="823">
        <f t="shared" si="7"/>
        <v>0</v>
      </c>
      <c r="BF19" s="833">
        <f t="shared" si="7"/>
        <v>0</v>
      </c>
      <c r="BG19" s="918">
        <f>IF(ISNUMBER(Datos!K19/Datos!J19),Datos!K19/Datos!J19," - ")</f>
        <v>0.8869760479041916</v>
      </c>
      <c r="BH19" s="918">
        <f>IF(ISNUMBER(((Datos!L19/Datos!K19)*11)/factor_trimestre),((Datos!L19/Datos!K19)*11)/factor_trimestre," - ")</f>
        <v>5.6582278481012667</v>
      </c>
      <c r="BI19" s="816">
        <f>IF(ISNUMBER(Datos!J19/Datos!I19),Datos!J19/Datos!I19," - ")</f>
        <v>0.6472868217054264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-1.2339373970345964</v>
      </c>
      <c r="BM19" s="892">
        <f>IF(ISNUMBER((Datos!P19-Datos!Q19+R19)/(Datos!R19-Datos!P19+Datos!Q19-R19)),(Datos!P19-Datos!Q19+R19)/(Datos!R19-Datos!P19+Datos!Q19-R19)," - ")</f>
        <v>-1.389854065323141E-3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308.88239401644978</v>
      </c>
      <c r="G21" s="555">
        <f>IF(ISNUMBER(STDEV(G8:G18)),STDEV(G8:G18),"-")</f>
        <v>293.09776525930732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372.00846764556314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51.655267559723917</v>
      </c>
      <c r="BD21" s="554"/>
      <c r="BE21" s="554">
        <f>IF(ISNUMBER(STDEV(BE8:BE18)),STDEV(BE8:BE18),"-")</f>
        <v>0</v>
      </c>
      <c r="BF21" s="559">
        <f>IF(ISNUMBER(STDEV(BF8:BF18)),STDEV(BF8:BF18),"-")</f>
        <v>0</v>
      </c>
      <c r="BG21" s="778">
        <f>IF(ISNUMBER(STDEV(BG8:BG18)),STDEV(BG8:BG18),"-")</f>
        <v>0.15785055781497731</v>
      </c>
      <c r="BH21" s="779">
        <f>IF(ISNUMBER(STDEV(BH8:BH18)),STDEV(BH8:BH18),"-")</f>
        <v>6.2897064510259533</v>
      </c>
      <c r="BI21" s="252">
        <f>IF(ISNUMBER(STDEV(BI8:BI18)),STDEV(BI8:BI18),"-")</f>
        <v>0.10010474263386712</v>
      </c>
      <c r="BJ21" s="233" t="str">
        <f>IF(ISNUMBER(BL21/BM21),BL21/BM21," - ")</f>
        <v xml:space="preserve"> - </v>
      </c>
      <c r="BK21" s="578"/>
      <c r="BL21" s="562">
        <f>IF(ISNUMBER(STDEV(BL8:BL18)),STDEV(BL8:BL18),"-")</f>
        <v>0.78137432061940193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GVMnqCH9h1cfGbSxo+GFUrsUwnXhO7INEuVP70/0K/ecuH66+26VutJ4gsyUTID41i99lccA4pQOOZG7aAOkQ==" saltValue="wpF2bG5oKtC4qTze1chC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HUERCAL-OVERA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1</v>
      </c>
      <c r="AA10" s="335">
        <f>IF(ISNUMBER(Datos!L10),Datos!L10,"-")</f>
        <v>42</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2</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-8.3333333333333329E-2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80</v>
      </c>
      <c r="AA12" s="335" t="str">
        <f>IF(ISNUMBER(IF(J_V="SI",Datos!L12,Datos!L12+Datos!AB12)-IF(Monitorios="SI",Datos!CD12,0)),
                          IF(J_V="SI",Datos!L12,Datos!L12+Datos!AB12)-IF(Monitorios="SI",Datos!CD12,0),
                          " - ")</f>
        <v xml:space="preserve"> - </v>
      </c>
      <c r="AB12" s="337"/>
      <c r="AC12" s="337"/>
      <c r="AD12" s="487"/>
      <c r="AE12" s="487">
        <f>IF(ISNUMBER(Datos!R12),Datos!R12," - ")</f>
        <v>2785</v>
      </c>
      <c r="AF12" s="232" t="str">
        <f>IF(ISNUMBER(Datos!BV12),Datos!BV12," - ")</f>
        <v xml:space="preserve"> - </v>
      </c>
      <c r="AG12" s="228" t="str">
        <f>IF(ISNUMBER(Datos!DV12),Datos!DV12," - ")</f>
        <v xml:space="preserve"> - </v>
      </c>
      <c r="AH12" s="301"/>
      <c r="AI12" s="230"/>
      <c r="AJ12" s="228">
        <f>IF(ISNUMBER(Datos!M12),Datos!M12," - ")</f>
        <v>122</v>
      </c>
      <c r="AK12" s="232">
        <f>IF(ISNUMBER(Datos!N12),Datos!N12," - ")</f>
        <v>230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9.514644351464435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2.5197984161267097E-3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81</v>
      </c>
      <c r="AA13" s="903">
        <f t="shared" si="2"/>
        <v>42</v>
      </c>
      <c r="AB13" s="903">
        <f t="shared" si="2"/>
        <v>0</v>
      </c>
      <c r="AC13" s="903">
        <f t="shared" si="2"/>
        <v>0</v>
      </c>
      <c r="AD13" s="903">
        <f t="shared" si="2"/>
        <v>0</v>
      </c>
      <c r="AE13" s="903">
        <f t="shared" si="2"/>
        <v>2796</v>
      </c>
      <c r="AF13" s="911">
        <f t="shared" si="2"/>
        <v>0</v>
      </c>
      <c r="AG13" s="911">
        <f t="shared" si="2"/>
        <v>0</v>
      </c>
      <c r="AH13" s="911">
        <f t="shared" si="2"/>
        <v>0</v>
      </c>
      <c r="AI13" s="911">
        <f t="shared" si="2"/>
        <v>0</v>
      </c>
      <c r="AJ13" s="911">
        <f t="shared" si="2"/>
        <v>124</v>
      </c>
      <c r="AK13" s="911">
        <f t="shared" si="2"/>
        <v>234</v>
      </c>
      <c r="AL13" s="911">
        <f t="shared" si="2"/>
        <v>0</v>
      </c>
      <c r="AM13" s="911">
        <f t="shared" si="2"/>
        <v>0</v>
      </c>
      <c r="AN13" s="911">
        <f t="shared" si="2"/>
        <v>0</v>
      </c>
      <c r="AO13" s="907">
        <f>IF(ISNUMBER(((NºAsuntos!I13/NºAsuntos!G13)*11)/factor_trimestre),((NºAsuntos!I13/NºAsuntos!G13)*11)/factor_trimestre," - ")</f>
        <v>9.637113402061857</v>
      </c>
      <c r="AP13" s="913" t="str">
        <f>IF(ISNUMBER(Datos!CI13/Datos!CJ13),Datos!CI13/Datos!CJ13," - ")</f>
        <v xml:space="preserve"> - </v>
      </c>
      <c r="AQ13" s="931">
        <f t="shared" ref="AQ13:AV13" si="3">SUBTOTAL(9,AQ9:AQ12)</f>
        <v>0</v>
      </c>
      <c r="AR13" s="931">
        <f t="shared" si="3"/>
        <v>-8.0813534917206623E-2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571</v>
      </c>
      <c r="G16" s="228">
        <f>IF(ISNUMBER(IF(D_I="SI",Datos!I16,Datos!I16+Datos!AC16)),IF(D_I="SI",Datos!I16,Datos!I16+Datos!AC16)," - ")</f>
        <v>551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668</v>
      </c>
      <c r="Z16" s="622">
        <f>IF(ISNUMBER(Datos!Q16),Datos!Q16," - ")</f>
        <v>18</v>
      </c>
      <c r="AA16" s="335">
        <f>IF(ISNUMBER(IF(D_I="SI",Datos!L16,Datos!L16+Datos!AF16)),IF(D_I="SI",Datos!L16,Datos!L16+Datos!AF16)," - ")</f>
        <v>652</v>
      </c>
      <c r="AB16" s="337"/>
      <c r="AC16" s="337"/>
      <c r="AD16" s="487"/>
      <c r="AE16" s="487">
        <f>IF(ISNUMBER(Datos!R16),Datos!R16," - ")</f>
        <v>77</v>
      </c>
      <c r="AF16" s="232" t="str">
        <f>IF(ISNUMBER(Datos!BV16),Datos!BV16," - ")</f>
        <v xml:space="preserve"> - </v>
      </c>
      <c r="AG16" s="228"/>
      <c r="AH16" s="301"/>
      <c r="AI16" s="230"/>
      <c r="AJ16" s="228">
        <f>IF(ISNUMBER(Datos!M16),Datos!M16," - ")</f>
        <v>72</v>
      </c>
      <c r="AK16" s="232">
        <f>IF(ISNUMBER(Datos!N16),Datos!N16," - ")</f>
        <v>444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2.9281437125748506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74</v>
      </c>
      <c r="Z17" s="622">
        <f>IF(ISNUMBER(Datos!Q17),Datos!Q17," - ")</f>
        <v>2</v>
      </c>
      <c r="AA17" s="335">
        <f>IF(ISNUMBER(Datos!L17),Datos!L17,"-")</f>
        <v>45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18</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1.8243243243243246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571</v>
      </c>
      <c r="G18" s="901">
        <f>SUBTOTAL(9,G15:G17)</f>
        <v>595</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742</v>
      </c>
      <c r="Z18" s="935">
        <f t="shared" si="5"/>
        <v>20</v>
      </c>
      <c r="AA18" s="935">
        <f t="shared" si="5"/>
        <v>697</v>
      </c>
      <c r="AB18" s="935">
        <f t="shared" si="5"/>
        <v>0</v>
      </c>
      <c r="AC18" s="935">
        <f t="shared" si="5"/>
        <v>0</v>
      </c>
      <c r="AD18" s="935">
        <f t="shared" si="5"/>
        <v>0</v>
      </c>
      <c r="AE18" s="935">
        <f t="shared" si="5"/>
        <v>78</v>
      </c>
      <c r="AF18" s="935">
        <f t="shared" si="5"/>
        <v>0</v>
      </c>
      <c r="AG18" s="935">
        <f t="shared" si="5"/>
        <v>0</v>
      </c>
      <c r="AH18" s="935">
        <f t="shared" si="5"/>
        <v>0</v>
      </c>
      <c r="AI18" s="935">
        <f t="shared" si="5"/>
        <v>0</v>
      </c>
      <c r="AJ18" s="935">
        <f t="shared" si="5"/>
        <v>90</v>
      </c>
      <c r="AK18" s="935">
        <f t="shared" si="5"/>
        <v>491</v>
      </c>
      <c r="AL18" s="935">
        <f t="shared" si="5"/>
        <v>0</v>
      </c>
      <c r="AM18" s="935">
        <f t="shared" si="5"/>
        <v>0</v>
      </c>
      <c r="AN18" s="935">
        <f t="shared" si="5"/>
        <v>0</v>
      </c>
      <c r="AO18" s="937">
        <f>IF(ISNUMBER(((NºAsuntos!I18/NºAsuntos!G18)*11)/factor_trimestre),((NºAsuntos!I18/NºAsuntos!G18)*11)/factor_trimestre," - ")</f>
        <v>2.8180592991913751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607</v>
      </c>
      <c r="G19" s="823">
        <f t="shared" si="7"/>
        <v>631</v>
      </c>
      <c r="H19" s="824">
        <f t="shared" si="7"/>
        <v>0</v>
      </c>
      <c r="I19" s="823">
        <f t="shared" si="7"/>
        <v>0</v>
      </c>
      <c r="J19" s="825">
        <f t="shared" si="7"/>
        <v>0</v>
      </c>
      <c r="K19" s="823">
        <f t="shared" si="7"/>
        <v>0</v>
      </c>
      <c r="L19" s="826">
        <f t="shared" si="7"/>
        <v>0</v>
      </c>
      <c r="M19" s="823">
        <f t="shared" si="7"/>
        <v>0</v>
      </c>
      <c r="N19" s="824">
        <f t="shared" si="7"/>
        <v>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749</v>
      </c>
      <c r="Z19" s="830">
        <f t="shared" si="8"/>
        <v>101</v>
      </c>
      <c r="AA19" s="831">
        <f t="shared" si="8"/>
        <v>739</v>
      </c>
      <c r="AB19" s="831">
        <f t="shared" si="8"/>
        <v>0</v>
      </c>
      <c r="AC19" s="831">
        <f t="shared" si="8"/>
        <v>0</v>
      </c>
      <c r="AD19" s="832">
        <f t="shared" si="8"/>
        <v>0</v>
      </c>
      <c r="AE19" s="832">
        <f t="shared" si="8"/>
        <v>2874</v>
      </c>
      <c r="AF19" s="833">
        <f t="shared" si="8"/>
        <v>0</v>
      </c>
      <c r="AG19" s="834">
        <f t="shared" si="8"/>
        <v>0</v>
      </c>
      <c r="AH19" s="835">
        <f t="shared" si="8"/>
        <v>0</v>
      </c>
      <c r="AI19" s="833">
        <f t="shared" si="8"/>
        <v>0</v>
      </c>
      <c r="AJ19" s="823">
        <f t="shared" si="8"/>
        <v>214</v>
      </c>
      <c r="AK19" s="823">
        <f t="shared" si="8"/>
        <v>725</v>
      </c>
      <c r="AL19" s="823">
        <f t="shared" si="8"/>
        <v>0</v>
      </c>
      <c r="AM19" s="836">
        <f t="shared" si="8"/>
        <v>0</v>
      </c>
      <c r="AN19" s="826">
        <f>IF(ISNUMBER(Datos!K19/Datos!J19),Datos!K19/Datos!J19," - ")</f>
        <v>0.8869760479041916</v>
      </c>
      <c r="AO19" s="826">
        <f>IF(ISNUMBER(FIND("06",Criterios!A8,1)),(IF(ISNUMBER(((Datos!R19/Datos!Q19)*11)/factor_trimestre),((Datos!R19/Datos!Q19)*11)/factor_trimestre," - ")),(IF(ISNUMBER(((Datos!L19/Datos!K19)*11)/factor_trimestre),((Datos!L19/Datos!K19)*11)/factor_trimestre," - ")))</f>
        <v>5.6582278481012667</v>
      </c>
      <c r="AP19" s="837" t="str">
        <f>IF(ISNUMBER(Datos!CI19/Datos!CJ19),Datos!CI19/Datos!CJ19," - ")</f>
        <v xml:space="preserve"> - </v>
      </c>
      <c r="AQ19" s="837">
        <f>IF(OR(ISNUMBER(FIND("01",Criterios!A8,1)),ISNUMBER(FIND("02",Criterios!A8,1)),ISNUMBER(FIND("03",Criterios!A8,1)),ISNUMBER(FIND("04",Criterios!A8,1))),(J19-Y19+K19)/(F19-K19),(I19-Y19+K19)/(F19-K19))</f>
        <v>-1.2339373970345964</v>
      </c>
      <c r="AR19" s="837">
        <f>IF(ISNUMBER((Datos!P19-Datos!Q19+O19)/(Datos!R19-Datos!P19+Datos!Q19-O19)),(Datos!P19-Datos!Q19+O19)/(Datos!R19-Datos!P19+Datos!Q19-O19)," - ")</f>
        <v>-1.389854065323141E-3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308.88239401644978</v>
      </c>
      <c r="G21" s="555">
        <f>IF(ISNUMBER(STDEV(G8:G18)),STDEV(G8:G18),"-")</f>
        <v>293.09776525930732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51.655267559723917</v>
      </c>
      <c r="AK21" s="255"/>
      <c r="AL21" s="255">
        <f>IF(ISNUMBER(STDEV(AL8:AL18)),STDEV(AL8:AL18),"-")</f>
        <v>0</v>
      </c>
      <c r="AM21" s="257">
        <f>IF(ISNUMBER(STDEV(AM8:AM18)),STDEV(AM8:AM18),"-")</f>
        <v>0</v>
      </c>
      <c r="AN21" s="542">
        <f>IF(ISNUMBER(STDEV(AN8:AN18)),STDEV(AN8:AN18),"-")</f>
        <v>0</v>
      </c>
      <c r="AO21" s="543">
        <f>IF(ISNUMBER(STDEV(AO8:AO18)),STDEV(AO8:AO18),"-")</f>
        <v>6.2273417171127781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a3EcrfUGi+v71jqtziiat9LeBA0w2MY1a1bnYgWIVzOZ9qA9OilNqs8DadqvNhpD1IPfh8/MsmhQmdh8pYKAg==" saltValue="/QX7fflt6Hqrh1S3yh/f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12NZPL9co3SSIpPK4LqBePXHWjkHjBOyDmWp383HZDWsBcejxgof/rK0gUtP6Qr/RIFOpwdf1jkNZ+annEGVA==" saltValue="qjj5nR2IQBB4K0oZINTx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zbw5AmEshJupL69CTjPgRnbUa1LBmV1Ms93bDqC4kiqBBAlgXRnGq14KwsKY5nUiX1oDXVrVijrU2XrowRK+Q==" saltValue="9SYRIdwuV2TaqPo+po1J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HUERCAL-OVERA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0.25567010309278349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0.18078606364357089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ffx3BY8C9Lx6BxBs1PAw5d/S4yWz8RxkE+QqzyYQk7Okwfnqqip87qnwVuv92jmbCnGXISVUvg0TEzwBnfivg==" saltValue="MrAv2r9aJkFxWQpeF6G2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PY39eGiQN6RZamPMWND9HjyCUxx8vaihSrUqtT5tlq1qRLFSV+H+NCXYVz014CI2Xfdf3PHsYf/d5mV40VdMA==" saltValue="rMR2i1j0KvLvTS+pHTh6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HUERCAL-OVERA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13</v>
      </c>
      <c r="F10" s="407">
        <f>IF(ISNUMBER(E10/B10),E10/B10," - ")</f>
        <v>13</v>
      </c>
      <c r="G10" s="406">
        <f>IF(ISNUMBER(Datos!K10),Datos!K10," - ")</f>
        <v>7</v>
      </c>
      <c r="H10" s="407">
        <f>IF(ISNUMBER(G10/B10),G10/B10," - ")</f>
        <v>7</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1472</v>
      </c>
      <c r="D12" s="407">
        <f>IF(ISNUMBER(C12/Datos!BH12),C12/Datos!BH12," - ")</f>
        <v>490.66666666666669</v>
      </c>
      <c r="E12" s="406">
        <f>IF(ISNUMBER(IF(J_V="SI",Datos!J12,Datos!J12+Datos!Z12)),IF(J_V="SI",Datos!J12,Datos!J12+Datos!Z12)," - ")</f>
        <v>522</v>
      </c>
      <c r="F12" s="407">
        <f>IF(ISNUMBER(E12/B12),E12/B12," - ")</f>
        <v>174</v>
      </c>
      <c r="G12" s="406">
        <f>IF(ISNUMBER(IF(J_V="SI",Datos!K12,Datos!K12+Datos!AA12)),IF(J_V="SI",Datos!K12,Datos!K12+Datos!AA12)," - ")</f>
        <v>478</v>
      </c>
      <c r="H12" s="407">
        <f>IF(ISNUMBER(G12/B12),G12/B12," - ")</f>
        <v>159.33333333333334</v>
      </c>
      <c r="I12" s="406">
        <f>IF(ISNUMBER(IF(J_V="SI",Datos!L12,Datos!L12+Datos!AB12)),IF(J_V="SI",Datos!L12,Datos!L12+Datos!AB12)," - ")</f>
        <v>1516</v>
      </c>
      <c r="J12" s="407">
        <f>IF(ISNUMBER(I12/B12),I12/B12," - ")</f>
        <v>505.33333333333331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1508</v>
      </c>
      <c r="D13" s="853" t="str">
        <f>IF(ISNUMBER(C13/Datos!BI13),C13/Datos!BI13," - ")</f>
        <v xml:space="preserve"> - </v>
      </c>
      <c r="E13" s="852">
        <f>SUBTOTAL(9,E8:E12)</f>
        <v>535</v>
      </c>
      <c r="F13" s="853">
        <f>IF(ISNUMBER(E13/B13),E13/B13," - ")</f>
        <v>178.33333333333334</v>
      </c>
      <c r="G13" s="852">
        <f>SUBTOTAL(9,G8:G12)</f>
        <v>485</v>
      </c>
      <c r="H13" s="853">
        <f>IF(ISNUMBER(G13/B13),G13/B13," - ")</f>
        <v>161.66666666666666</v>
      </c>
      <c r="I13" s="852">
        <f>SUBTOTAL(9,I8:I12)</f>
        <v>1558</v>
      </c>
      <c r="J13" s="853">
        <f>IF(ISNUMBER(I13/B13),I13/B13," - ")</f>
        <v>519.33333333333337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551</v>
      </c>
      <c r="D16" s="407">
        <f>IF(ISNUMBER(C16/Datos!BH16),C16/Datos!BH16," - ")</f>
        <v>183.66666666666666</v>
      </c>
      <c r="E16" s="406">
        <f>IF(ISNUMBER(IF(D_I="SI",Datos!J16,Datos!J16+Datos!AD16)),IF(D_I="SI",Datos!J16,Datos!J16+Datos!AD16)," - ")</f>
        <v>749</v>
      </c>
      <c r="F16" s="407">
        <f>IF(ISNUMBER(E16/B16),E16/B16," - ")</f>
        <v>249.66666666666666</v>
      </c>
      <c r="G16" s="406">
        <f>IF(ISNUMBER(IF(D_I="SI",Datos!K16,Datos!K16+Datos!AE16)),IF(D_I="SI",Datos!K16,Datos!K16+Datos!AE16)," - ")</f>
        <v>668</v>
      </c>
      <c r="H16" s="407">
        <f>IF(ISNUMBER(G16/B16),G16/B16," - ")</f>
        <v>222.66666666666666</v>
      </c>
      <c r="I16" s="406">
        <f>IF(ISNUMBER(IF(D_I="SI",Datos!L16,Datos!L16+Datos!AF16)),IF(D_I="SI",Datos!L16,Datos!L16+Datos!AF16)," - ")</f>
        <v>652</v>
      </c>
      <c r="J16" s="407">
        <f>IF(ISNUMBER(I16/B16),I16/B16," - ")</f>
        <v>217.33333333333334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v>
      </c>
      <c r="D17" s="407">
        <f>IF(ISNUMBER(C17/Datos!BH17),C17/Datos!BH17," - ")</f>
        <v>44</v>
      </c>
      <c r="E17" s="406">
        <f>IF(ISNUMBER(IF(D_I="SI",Datos!J17,Datos!J17+Datos!AD17)),IF(D_I="SI",Datos!J17,Datos!J17+Datos!AD17)," - ")</f>
        <v>75</v>
      </c>
      <c r="F17" s="407">
        <f>IF(ISNUMBER(E17/B17),E17/B17," - ")</f>
        <v>75</v>
      </c>
      <c r="G17" s="406">
        <f>IF(ISNUMBER(IF(D_I="SI",Datos!K17,Datos!K17+Datos!AE17)),IF(D_I="SI",Datos!K17,Datos!K17+Datos!AE17)," - ")</f>
        <v>74</v>
      </c>
      <c r="H17" s="407">
        <f>IF(ISNUMBER(G17/B17),G17/B17," - ")</f>
        <v>74</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595</v>
      </c>
      <c r="D18" s="853" t="str">
        <f>IF(ISNUMBER(C18/Datos!BI18),C18/Datos!BI18," - ")</f>
        <v xml:space="preserve"> - </v>
      </c>
      <c r="E18" s="852">
        <f>SUBTOTAL(9,E14:E17)</f>
        <v>824</v>
      </c>
      <c r="F18" s="853">
        <f>IF(ISNUMBER(E18/B18),E18/B18," - ")</f>
        <v>274.66666666666669</v>
      </c>
      <c r="G18" s="852">
        <f>SUBTOTAL(9,G14:G17)</f>
        <v>742</v>
      </c>
      <c r="H18" s="853">
        <f>IF(ISNUMBER(G18/B18),G18/B18," - ")</f>
        <v>247.33333333333334</v>
      </c>
      <c r="I18" s="852">
        <f>SUBTOTAL(9,I14:I17)</f>
        <v>697</v>
      </c>
      <c r="J18" s="853">
        <f>IF(ISNUMBER(I18/B18),I18/B18," - ")</f>
        <v>232.33333333333334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2103</v>
      </c>
      <c r="D19" s="798" t="str">
        <f>IF(ISNUMBER(C19/Datos!BI19),C19/Datos!BI19," - ")</f>
        <v xml:space="preserve"> - </v>
      </c>
      <c r="E19" s="797">
        <f>SUBTOTAL(9,E9:E18)</f>
        <v>1359</v>
      </c>
      <c r="F19" s="798">
        <f>IF(ISNUMBER(E19/B19),E19/B19," - ")</f>
        <v>453</v>
      </c>
      <c r="G19" s="797">
        <f>SUBTOTAL(9,G9:G18)</f>
        <v>1227</v>
      </c>
      <c r="H19" s="798">
        <f>IF(ISNUMBER(G19/B19),G19/B19," - ")</f>
        <v>409</v>
      </c>
      <c r="I19" s="797">
        <f>SUBTOTAL(9,I9:I18)</f>
        <v>2255</v>
      </c>
      <c r="J19" s="798">
        <f>IF(ISNUMBER(I19/B19),I19/B19," - ")</f>
        <v>751.66666666666663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JInW610CAmPC0CTnv24Geh92iQLD6jNvdSJUcIdD8IOhwnMk4j8uHczsYW7rt2xxAtgigUetKALR/FuQJj0eQ==" saltValue="6llTwuT4h2y/V99vXRyF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HUERCAL-OVERA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2785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122</v>
      </c>
      <c r="AM12" s="693">
        <f>IF(ISNUMBER(Datos!N12+DatosP!N16),Datos!N12+DatosP!N16," - ")</f>
        <v>230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9.514644351464435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2.5197984161267097E-3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80</v>
      </c>
      <c r="AE13" s="942">
        <f t="shared" si="1"/>
        <v>0</v>
      </c>
      <c r="AF13" s="942">
        <f t="shared" si="1"/>
        <v>42</v>
      </c>
      <c r="AG13" s="942">
        <f t="shared" si="1"/>
        <v>0</v>
      </c>
      <c r="AH13" s="942">
        <f t="shared" si="1"/>
        <v>2785</v>
      </c>
      <c r="AI13" s="942">
        <f t="shared" si="1"/>
        <v>0</v>
      </c>
      <c r="AJ13" s="942">
        <f t="shared" si="1"/>
        <v>0</v>
      </c>
      <c r="AK13" s="942">
        <f t="shared" si="1"/>
        <v>0</v>
      </c>
      <c r="AL13" s="942">
        <f t="shared" si="1"/>
        <v>124</v>
      </c>
      <c r="AM13" s="942">
        <f t="shared" si="1"/>
        <v>234</v>
      </c>
      <c r="AN13" s="942">
        <f t="shared" si="1"/>
        <v>0</v>
      </c>
      <c r="AO13" s="942">
        <f t="shared" si="1"/>
        <v>0</v>
      </c>
      <c r="AP13" s="947">
        <f>IF(ISNUMBER(((Datos!L13/Datos!K13)*11)/factor_trimestre),((Datos!L13/Datos!K13)*11)/factor_trimestre," - ")</f>
        <v>10.415349887133184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-0.19444444444444445</v>
      </c>
      <c r="AU13" s="942" t="str">
        <f>IF(ISNUMBER((DatosP!#REF!-DatosP!#REF!+DatosP!#REF!)/(DatosP!#REF!+DatosP!#REF!-DatosP!#REF!-DatosP!#REF!)),(DatosP!#REF!-DatosP!#REF!+DatosP!#REF!)/(DatosP!#REF!+DatosP!#REF!-DatosP!#REF!-DatosP!#REF!)," - ")</f>
        <v xml:space="preserve"> - </v>
      </c>
      <c r="AV13" s="948">
        <f>SUBTOTAL(9,AV9:AV12)</f>
        <v>2.5197984161267097E-3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2.8180592991913751</v>
      </c>
      <c r="AQ18" s="947">
        <f>IF(ISNUMBER(((Datos!M18/Datos!L18)*11)/factor_trimestre),((Datos!M18/Datos!L18)*11)/factor_trimestre," - ")</f>
        <v>0.38737446197991393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-0.11363636363636363</v>
      </c>
      <c r="AW18" s="949">
        <f>IF(ISNUMBER((Datos!Q18-Datos!R18)/(Datos!S18-Datos!Q18+Datos!R18)),(Datos!Q18-Datos!R18)/(Datos!S18-Datos!Q18+Datos!R18)," - ")</f>
        <v>-9.0483619344773794E-2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80</v>
      </c>
      <c r="AE19" s="960">
        <f t="shared" si="5"/>
        <v>0</v>
      </c>
      <c r="AF19" s="961">
        <f t="shared" si="5"/>
        <v>42</v>
      </c>
      <c r="AG19" s="961">
        <f t="shared" si="5"/>
        <v>0</v>
      </c>
      <c r="AH19" s="961">
        <f t="shared" si="5"/>
        <v>2785</v>
      </c>
      <c r="AI19" s="961">
        <f t="shared" si="5"/>
        <v>0</v>
      </c>
      <c r="AJ19" s="962">
        <f t="shared" si="5"/>
        <v>0</v>
      </c>
      <c r="AK19" s="962">
        <f t="shared" si="5"/>
        <v>0</v>
      </c>
      <c r="AL19" s="954">
        <f t="shared" si="5"/>
        <v>124</v>
      </c>
      <c r="AM19" s="954">
        <f t="shared" si="5"/>
        <v>234</v>
      </c>
      <c r="AN19" s="954">
        <f t="shared" si="5"/>
        <v>0</v>
      </c>
      <c r="AO19" s="954">
        <f t="shared" si="5"/>
        <v>0</v>
      </c>
      <c r="AP19" s="954">
        <f>IF(ISNUMBER(((Datos!L19/Datos!K19)*11)/factor_trimestre),((Datos!L19/Datos!K19)*11)/factor_trimestre," - ")</f>
        <v>5.6582278481012667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-0.19444444444444445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-1.389854065323141E-3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70.44619696382955</v>
      </c>
      <c r="AM21" s="739"/>
      <c r="AN21" s="739">
        <f>IF(ISNUMBER(STDEV(AN8:AN18)),STDEV(AN8:AN18),"-")</f>
        <v>0</v>
      </c>
      <c r="AO21" s="745">
        <f>IF(ISNUMBER(STDEV(AO8:AO18)),STDEV(AO8:AO18),"-")</f>
        <v>0</v>
      </c>
      <c r="AP21" s="782">
        <f>IF(ISNUMBER(STDEV(AP8:AP18)),STDEV(AP8:AP18),"-")</f>
        <v>6.2141897256839762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JBbqNrhmbsrBlHgAJiy5gD8eONr7DJcKGb4y8wbypr8Oop5YeQ/B9rbA+6RLrBQKJjJNAAG6dBUsG25tLq9HQ==" saltValue="Z7Jcvp4pQeDDT4p41INw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HUERCAL-OVERA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U+QGml5yyKkn14UeF1jaeoJWU6PUbX8hB5z1c6SxqwHpNYrdrureueb9GbiAVIkjdXhDkSXhvO0RhMP8yRxMA==" saltValue="tn3a/4r4zGLl+dpFcKNC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HUERCAL-OVERA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4</v>
      </c>
      <c r="G10" s="407">
        <f>IF(ISNUMBER(F10/B10),F10/B10," - ")</f>
        <v>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122</v>
      </c>
      <c r="E12" s="407">
        <f t="shared" si="0"/>
        <v>40.666666666666664</v>
      </c>
      <c r="F12" s="406">
        <f>IF(ISNUMBER(Datos!N12),Datos!N12," - ")</f>
        <v>230</v>
      </c>
      <c r="G12" s="407">
        <f t="shared" si="1"/>
        <v>76.666666666666671</v>
      </c>
      <c r="H12" s="406">
        <f>IF(ISNUMBER(Datos!O12),Datos!O12," - ")</f>
        <v>182</v>
      </c>
      <c r="I12" s="407">
        <f t="shared" si="2"/>
        <v>60.666666666666664</v>
      </c>
    </row>
    <row r="13" spans="1:9" ht="14.25" thickTop="1" thickBot="1">
      <c r="A13" s="851" t="str">
        <f>Datos!A13</f>
        <v>TOTAL</v>
      </c>
      <c r="B13" s="852">
        <f>Datos!AO13</f>
        <v>4</v>
      </c>
      <c r="C13" s="854">
        <f>Datos!AR13</f>
        <v>3</v>
      </c>
      <c r="D13" s="852">
        <f>SUBTOTAL(9,D9:D12)</f>
        <v>124</v>
      </c>
      <c r="E13" s="853">
        <f t="shared" si="0"/>
        <v>31</v>
      </c>
      <c r="F13" s="852">
        <f>SUBTOTAL(9,F9:F12)</f>
        <v>234</v>
      </c>
      <c r="G13" s="853">
        <f t="shared" si="1"/>
        <v>58.5</v>
      </c>
      <c r="H13" s="852">
        <f>SUBTOTAL(9,H9:H12)</f>
        <v>183</v>
      </c>
      <c r="I13" s="853">
        <f>IF(ISNUMBER(H13/B13),H13/B13," - ")</f>
        <v>45.75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72</v>
      </c>
      <c r="E16" s="407">
        <f t="shared" si="3"/>
        <v>24</v>
      </c>
      <c r="F16" s="406">
        <f>IF(ISNUMBER(Datos!N16),Datos!N16," - ")</f>
        <v>444</v>
      </c>
      <c r="G16" s="407">
        <f t="shared" si="4"/>
        <v>148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47</v>
      </c>
      <c r="G17" s="407">
        <f>IF(ISNUMBER(F17/B17),F17/B17," - ")</f>
        <v>47</v>
      </c>
      <c r="H17" s="406">
        <f>IF(ISNUMBER(Datos!O17),Datos!O17," - ")</f>
        <v>0</v>
      </c>
      <c r="I17" s="407">
        <f t="shared" si="5"/>
        <v>0</v>
      </c>
    </row>
    <row r="18" spans="1:9" ht="14.25" thickTop="1" thickBot="1">
      <c r="A18" s="851" t="str">
        <f>Datos!A18</f>
        <v>TOTAL</v>
      </c>
      <c r="B18" s="852">
        <f>Datos!AO18</f>
        <v>4</v>
      </c>
      <c r="C18" s="854">
        <f>Datos!AR18</f>
        <v>3</v>
      </c>
      <c r="D18" s="852">
        <f>SUBTOTAL(9,D15:D17)</f>
        <v>90</v>
      </c>
      <c r="E18" s="853">
        <f t="shared" si="3"/>
        <v>22.5</v>
      </c>
      <c r="F18" s="852">
        <f>SUBTOTAL(9,F15:F17)</f>
        <v>491</v>
      </c>
      <c r="G18" s="853">
        <f t="shared" si="4"/>
        <v>122.75</v>
      </c>
      <c r="H18" s="852">
        <f>SUBTOTAL(9,H15:H17)</f>
        <v>0</v>
      </c>
      <c r="I18" s="853">
        <f>IF(ISNUMBER(H18/B18),H18/B18," - ")</f>
        <v>0</v>
      </c>
    </row>
    <row r="19" spans="1:9" ht="14.25" thickTop="1" thickBot="1">
      <c r="A19" s="796" t="str">
        <f>Datos!A19</f>
        <v>TOTAL JURISDICCIONES</v>
      </c>
      <c r="B19" s="797">
        <f>Datos!AP19</f>
        <v>3</v>
      </c>
      <c r="C19" s="797">
        <f>Datos!AR19</f>
        <v>3</v>
      </c>
      <c r="D19" s="797">
        <f>SUBTOTAL(9,D8:D18)</f>
        <v>214</v>
      </c>
      <c r="E19" s="798">
        <f>IF(ISNUMBER(D19/B19),D19/B19," - ")</f>
        <v>71.333333333333329</v>
      </c>
      <c r="F19" s="797">
        <f>SUBTOTAL(9,F8:F18)</f>
        <v>725</v>
      </c>
      <c r="G19" s="798">
        <f>IF(ISNUMBER(F19/B19),F19/B19," - ")</f>
        <v>241.66666666666666</v>
      </c>
      <c r="H19" s="797">
        <f>SUBTOTAL(9,H8:H18)</f>
        <v>183</v>
      </c>
      <c r="I19" s="798">
        <f>IF(ISNUMBER(H19/B19),H19/B19," - ")</f>
        <v>61</v>
      </c>
    </row>
    <row r="22" spans="1:9">
      <c r="A22" s="394" t="str">
        <f>Criterios!A4</f>
        <v>Fecha Informe: 07 mar. 2024</v>
      </c>
    </row>
    <row r="27" spans="1:9">
      <c r="A27" s="417"/>
    </row>
  </sheetData>
  <sheetProtection algorithmName="SHA-512" hashValue="MgAXZkSuiDM4nB8qMEMlWpyUwke2Nn8qadN/g9yr0aQ99nBUHslUtqsKu1/0Sfsw/Ic2aBwCjFArlSK9YX6/Uw==" saltValue="cGadthiHXTTtXjbFW3y0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HUERCAL-OVERA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v>
      </c>
      <c r="C12" s="437">
        <f>IF(ISNUMBER(Datos!Q12),Datos!Q12," - ")</f>
        <v>80</v>
      </c>
      <c r="D12" s="411">
        <f>IF(ISNUMBER(Datos!R12),Datos!R12," - ")</f>
        <v>2785</v>
      </c>
    </row>
    <row r="13" spans="1:4" ht="14.25" thickTop="1" thickBot="1">
      <c r="A13" s="851" t="str">
        <f>Datos!A13</f>
        <v>TOTAL</v>
      </c>
      <c r="B13" s="852">
        <f>SUBTOTAL(9,B9:B12)</f>
        <v>87</v>
      </c>
      <c r="C13" s="856">
        <f>SUBTOTAL(9,C9:C12)</f>
        <v>81</v>
      </c>
      <c r="D13" s="854">
        <f>SUBTOTAL(9,D9:D12)</f>
        <v>2796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18</v>
      </c>
      <c r="D16" s="411">
        <f>IF(ISNUMBER(Datos!R16),Datos!R16," - ")</f>
        <v>77</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10</v>
      </c>
      <c r="C18" s="856">
        <f>SUBTOTAL(9,C15:C17)</f>
        <v>20</v>
      </c>
      <c r="D18" s="854">
        <f>SUBTOTAL(9,D15:D17)</f>
        <v>78</v>
      </c>
    </row>
    <row r="19" spans="1:4" ht="16.5" customHeight="1" thickTop="1" thickBot="1">
      <c r="A19" s="796" t="str">
        <f>Datos!A19</f>
        <v>TOTAL JURISDICCIONES</v>
      </c>
      <c r="B19" s="801">
        <f>SUBTOTAL(9,B8:B18)</f>
        <v>97</v>
      </c>
      <c r="C19" s="802">
        <f>SUBTOTAL(9,C8:C18)</f>
        <v>101</v>
      </c>
      <c r="D19" s="803">
        <f>SUBTOTAL(9,D8:D18)</f>
        <v>2874</v>
      </c>
    </row>
    <row r="20" spans="1:4" ht="7.5" customHeight="1"/>
    <row r="21" spans="1:4" ht="6" customHeight="1"/>
    <row r="22" spans="1:4">
      <c r="A22" s="394" t="str">
        <f>Criterios!A4</f>
        <v>Fecha Informe: 07 mar. 2024</v>
      </c>
    </row>
    <row r="27" spans="1:4">
      <c r="A27" s="417"/>
    </row>
  </sheetData>
  <sheetProtection algorithmName="SHA-512" hashValue="l7gyxNaGov5HcSqI6ayxCgCkIXeB/DufD2hRZrR+iCnbrkyAGKX/8EwR+qiZVB1yeROo5BGUBvi9fmJ9fHV4dA==" saltValue="N/x605vYjN66vD5eNvlD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HUERCAL-OVERA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-5.2631578947368418E-2</v>
      </c>
      <c r="C10" s="459">
        <f>IF(ISNUMBER((Datos!J10-Datos!T10)/Datos!T10),(Datos!J10-Datos!T10)/Datos!T10," - ")</f>
        <v>0.625</v>
      </c>
      <c r="D10" s="459">
        <f>IF(ISNUMBER((Datos!K10-Datos!U10)/Datos!U10),(Datos!K10-Datos!U10)/Datos!U10," - ")</f>
        <v>-0.3</v>
      </c>
      <c r="E10" s="459">
        <f>IF(ISNUMBER((Datos!L10-Datos!V10)/Datos!V10),(Datos!L10-Datos!V10)/Datos!V10," - ")</f>
        <v>0.16666666666666666</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-0.56923076923076921</v>
      </c>
      <c r="I10" s="459">
        <f>IF(ISNUMBER(((NºAsuntos!I10/NºAsuntos!G10)-Datos!BE10)/Datos!BE10),((NºAsuntos!I10/NºAsuntos!G10)-Datos!BE10)/Datos!BE10," - ")</f>
        <v>0.66666666666666663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0.52173913043478271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0.34429223744292237</v>
      </c>
      <c r="C12" s="459">
        <f>IF(ISNUMBER(
   IF(J_V="SI",(Datos!J12-Datos!T12)/Datos!T12,(Datos!J12+Datos!Z12-(Datos!T12+Datos!AH12))/(Datos!T12+Datos!AH12))
     ),IF(J_V="SI",(Datos!J12-Datos!T12)/Datos!T12,(Datos!J12+Datos!Z12-(Datos!T12+Datos!AH12))/(Datos!T12+Datos!AH12))," - ")</f>
        <v>-6.283662477558348E-2</v>
      </c>
      <c r="D12" s="459">
        <f>IF(ISNUMBER(
   IF(J_V="SI",(Datos!K12-Datos!U12)/Datos!U12,(Datos!K12+Datos!AA12-(Datos!U12+Datos!AI12))/(Datos!U12+Datos!AI12))
     ),IF(J_V="SI",(Datos!K12-Datos!U12)/Datos!U12,(Datos!K12+Datos!AA12-(Datos!U12+Datos!AI12))/(Datos!U12+Datos!AI12))," - ")</f>
        <v>-5.533596837944664E-2</v>
      </c>
      <c r="E12" s="459">
        <f>IF(ISNUMBER(
   IF(J_V="SI",(Datos!L12-Datos!V12)/Datos!V12,(Datos!L12+Datos!AB12-(Datos!V12+Datos!AJ12))/(Datos!V12+Datos!AJ12))
     ),IF(J_V="SI",(Datos!L12-Datos!V12)/Datos!V12,(Datos!L12+Datos!AB12-(Datos!V12+Datos!AJ12))/(Datos!V12+Datos!AJ12))," - ")</f>
        <v>0.32286212914485168</v>
      </c>
      <c r="F12" s="459">
        <f>IF(ISNUMBER((Datos!M12-Datos!W12)/Datos!W12),(Datos!M12-Datos!W12)/Datos!W12," - ")</f>
        <v>0.34065934065934067</v>
      </c>
      <c r="G12" s="460">
        <f>IF(ISNUMBER((Datos!N12-Datos!X12)/Datos!X12),(Datos!N12-Datos!X12)/Datos!X12," - ")</f>
        <v>0.45569620253164556</v>
      </c>
      <c r="H12" s="458">
        <f>IF(ISNUMBER(((NºAsuntos!G12/NºAsuntos!E12)-Datos!BD12)/Datos!BD12),((NºAsuntos!G12/NºAsuntos!E12)-Datos!BD12)/Datos!BD12," - ")</f>
        <v>8.0035739705903945E-3</v>
      </c>
      <c r="I12" s="459">
        <f>IF(ISNUMBER(((NºAsuntos!I12/NºAsuntos!G12)-Datos!BE12)/Datos!BE12),((NºAsuntos!I12/NºAsuntos!G12)-Datos!BE12)/Datos!BE12," - ")</f>
        <v>0.40035196097760456</v>
      </c>
      <c r="J12" s="464">
        <f>IF(ISNUMBER((('Resol  Asuntos'!D12/NºAsuntos!G12)-Datos!BF12)/Datos!BF12),(('Resol  Asuntos'!D12/NºAsuntos!G12)-Datos!BF12)/Datos!BF12," - ")</f>
        <v>-0.18261744610984582</v>
      </c>
      <c r="K12" s="465">
        <f>IF(ISNUMBER((((NºAsuntos!C12+NºAsuntos!E12)/NºAsuntos!G12)-Datos!BG12)/Datos!BG12),(((NºAsuntos!C12+NºAsuntos!E12)/NºAsuntos!G12)-Datos!BG12)/Datos!BG12," - ")</f>
        <v>0.27772599714305984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0.33097969991173876</v>
      </c>
      <c r="C13" s="858">
        <f>IF(ISNUMBER(
   IF(J_V="SI",(Datos!J13-Datos!T13)/Datos!T13,(Datos!J13+Datos!Z13-(Datos!T13+Datos!AH13))/(Datos!T13+Datos!AH13))
     ),IF(J_V="SI",(Datos!J13-Datos!T13)/Datos!T13,(Datos!J13+Datos!Z13-(Datos!T13+Datos!AH13))/(Datos!T13+Datos!AH13))," - ")</f>
        <v>-5.3097345132743362E-2</v>
      </c>
      <c r="D13" s="858">
        <f>IF(ISNUMBER(
   IF(J_V="SI",(Datos!K13-Datos!U13)/Datos!U13,(Datos!K13+Datos!AA13-(Datos!U13+Datos!AI13))/(Datos!U13+Datos!AI13))
     ),IF(J_V="SI",(Datos!K13-Datos!U13)/Datos!U13,(Datos!K13+Datos!AA13-(Datos!U13+Datos!AI13))/(Datos!U13+Datos!AI13))," - ")</f>
        <v>-6.0077519379844964E-2</v>
      </c>
      <c r="E13" s="858">
        <f>IF(ISNUMBER(
   IF(J_V="SI",(Datos!L13-Datos!V13)/Datos!V13,(Datos!L13+Datos!AB13-(Datos!V13+Datos!AJ13))/(Datos!V13+Datos!AJ13))
     ),IF(J_V="SI",(Datos!L13-Datos!V13)/Datos!V13,(Datos!L13+Datos!AB13-(Datos!V13+Datos!AJ13))/(Datos!V13+Datos!AJ13))," - ")</f>
        <v>0.31810490693739424</v>
      </c>
      <c r="F13" s="859">
        <f>IF(ISNUMBER((Datos!M13-Datos!W13)/Datos!W13),(Datos!M13-Datos!W13)/Datos!W13," - ")</f>
        <v>0.36263736263736263</v>
      </c>
      <c r="G13" s="860">
        <f>IF(ISNUMBER((Datos!N13-Datos!X13)/Datos!X13),(Datos!N13-Datos!X13)/Datos!X13," - ")</f>
        <v>0.48101265822784811</v>
      </c>
      <c r="H13" s="860">
        <f>IF(ISNUMBER(((NºAsuntos!G13/NºAsuntos!E13)-Datos!BD13)/Datos!BD13),((NºAsuntos!G13/NºAsuntos!E13)-Datos!BD13)/Datos!BD13," - ")</f>
        <v>-7.3715858871260453E-3</v>
      </c>
      <c r="I13" s="860">
        <f>IF(ISNUMBER(((NºAsuntos!I13/NºAsuntos!G13)-Datos!BE13)/Datos!BE13),((NºAsuntos!I13/NºAsuntos!G13)-Datos!BE13)/Datos!BE13," - ")</f>
        <v>0.40235491129834111</v>
      </c>
      <c r="J13" s="860">
        <f>IF(ISNUMBER((('Resol  Asuntos'!D13/NºAsuntos!G13)-Datos!BF13)/Datos!BF13),(('Resol  Asuntos'!D13/NºAsuntos!G13)-Datos!BF13)/Datos!BF13," - ")</f>
        <v>-0.16502675192483365</v>
      </c>
      <c r="K13" s="860">
        <f>IF(ISNUMBER((((NºAsuntos!C13+NºAsuntos!E13)/NºAsuntos!G13)-Datos!BG13)/Datos!BG13),(((NºAsuntos!C13+NºAsuntos!E13)/NºAsuntos!G13)-Datos!BG13)/Datos!BG13," - ")</f>
        <v>0.28008451422534697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-1.607142857142857E-2</v>
      </c>
      <c r="C16" s="459">
        <f>IF(ISNUMBER(
   IF(D_I="SI",(Datos!J16-Datos!T16)/Datos!T16,(Datos!J16+Datos!AD16-(Datos!T16+Datos!AL16))/(Datos!T16+Datos!AL16))
     ),IF(D_I="SI",(Datos!J16-Datos!T16)/Datos!T16,(Datos!J16+Datos!AD16-(Datos!T16+Datos!AL16))/(Datos!T16+Datos!AL16))," - ")</f>
        <v>0.69457013574660631</v>
      </c>
      <c r="D16" s="459">
        <f>IF(ISNUMBER(
   IF(D_I="SI",(Datos!K16-Datos!U16)/Datos!U16,(Datos!K16+Datos!AE16-(Datos!U16+Datos!AM16))/(Datos!U16+Datos!AM16))
     ),IF(D_I="SI",(Datos!K16-Datos!U16)/Datos!U16,(Datos!K16+Datos!AE16-(Datos!U16+Datos!AM16))/(Datos!U16+Datos!AM16))," - ")</f>
        <v>0.43965517241379309</v>
      </c>
      <c r="E16" s="459">
        <f>IF(ISNUMBER(
   IF(D_I="SI",(Datos!L16-Datos!V16)/Datos!V16,(Datos!L16+Datos!AF16-(Datos!V16+Datos!AN16))/(Datos!V16+Datos!AN16))
     ),IF(D_I="SI",(Datos!L16-Datos!V16)/Datos!V16,(Datos!L16+Datos!AF16-(Datos!V16+Datos!AN16))/(Datos!V16+Datos!AN16))," - ")</f>
        <v>0.19413919413919414</v>
      </c>
      <c r="F16" s="459">
        <f>IF(ISNUMBER((Datos!M16-Datos!W16)/Datos!W16),(Datos!M16-Datos!W16)/Datos!W16," - ")</f>
        <v>-0.18181818181818182</v>
      </c>
      <c r="G16" s="460">
        <f>IF(ISNUMBER((Datos!N16-Datos!X16)/Datos!X16),(Datos!N16-Datos!X16)/Datos!X16," - ")</f>
        <v>0.95594713656387664</v>
      </c>
      <c r="H16" s="458">
        <f>IF(ISNUMBER(((NºAsuntos!G16/NºAsuntos!E16)-Datos!BD16)/Datos!BD16),((NºAsuntos!G16/NºAsuntos!E16)-Datos!BD16)/Datos!BD16," - ")</f>
        <v>-0.15043045900280835</v>
      </c>
      <c r="I16" s="459">
        <f>IF(ISNUMBER(((NºAsuntos!I16/NºAsuntos!G16)-Datos!BE16)/Datos!BE16),((NºAsuntos!I16/NºAsuntos!G16)-Datos!BE16)/Datos!BE16," - ")</f>
        <v>-0.17053804478954177</v>
      </c>
      <c r="J16" s="464">
        <f>IF(ISNUMBER((('Resol  Asuntos'!D16/NºAsuntos!G16)-Datos!BF16)/Datos!BF16),(('Resol  Asuntos'!D16/NºAsuntos!G16)-Datos!BF16)/Datos!BF16," - ")</f>
        <v>-0.43168209036472505</v>
      </c>
      <c r="K16" s="465">
        <f>IF(ISNUMBER((((NºAsuntos!C16+NºAsuntos!E16)/NºAsuntos!G16)-Datos!BG16)/Datos!BG16),(((NºAsuntos!C16+NºAsuntos!E16)/NºAsuntos!G16)-Datos!BG16)/Datos!BG16," - ")</f>
        <v>-9.8808371281389293E-2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0.91304347826086951</v>
      </c>
      <c r="C17" s="459">
        <f>IF(ISNUMBER(
   IF(D_I="SI",(Datos!J17-Datos!T17)/Datos!T17,(Datos!J17+Datos!AD17-(Datos!T17+Datos!AL17))/(Datos!T17+Datos!AL17))
     ),IF(D_I="SI",(Datos!J17-Datos!T17)/Datos!T17,(Datos!J17+Datos!AD17-(Datos!T17+Datos!AL17))/(Datos!T17+Datos!AL17))," - ")</f>
        <v>0.10294117647058823</v>
      </c>
      <c r="D17" s="459">
        <f>IF(ISNUMBER(
   IF(D_I="SI",(Datos!K17-Datos!U17)/Datos!U17,(Datos!K17+Datos!AE17-(Datos!U17+Datos!AM17))/(Datos!U17+Datos!AM17))
     ),IF(D_I="SI",(Datos!K17-Datos!U17)/Datos!U17,(Datos!K17+Datos!AE17-(Datos!U17+Datos!AM17))/(Datos!U17+Datos!AM17))," - ")</f>
        <v>7.2463768115942032E-2</v>
      </c>
      <c r="E17" s="459">
        <f>IF(ISNUMBER(
   IF(D_I="SI",(Datos!L17-Datos!V17)/Datos!V17,(Datos!L17+Datos!AF17-(Datos!V17+Datos!AN17))/(Datos!V17+Datos!AN17))
     ),IF(D_I="SI",(Datos!L17-Datos!V17)/Datos!V17,(Datos!L17+Datos!AF17-(Datos!V17+Datos!AN17))/(Datos!V17+Datos!AN17))," - ")</f>
        <v>1.0454545454545454</v>
      </c>
      <c r="F17" s="459">
        <f>IF(ISNUMBER((Datos!M17-Datos!W17)/Datos!W17),(Datos!M17-Datos!W17)/Datos!W17," - ")</f>
        <v>1.25</v>
      </c>
      <c r="G17" s="460">
        <f>IF(ISNUMBER((Datos!N17-Datos!X17)/Datos!X17),(Datos!N17-Datos!X17)/Datos!X17," - ")</f>
        <v>0.20512820512820512</v>
      </c>
      <c r="H17" s="458">
        <f>IF(ISNUMBER(((NºAsuntos!G17/NºAsuntos!E17)-Datos!BD17)/Datos!BD17),((NºAsuntos!G17/NºAsuntos!E17)-Datos!BD17)/Datos!BD17," - ")</f>
        <v>-2.7632850241545819E-2</v>
      </c>
      <c r="I17" s="459">
        <f>IF(ISNUMBER(((NºAsuntos!I17/NºAsuntos!G17)-Datos!BE17)/Datos!BE17),((NºAsuntos!I17/NºAsuntos!G17)-Datos!BE17)/Datos!BE17," - ")</f>
        <v>0.90724815724815744</v>
      </c>
      <c r="J17" s="464">
        <f>IF(ISNUMBER((('Resol  Asuntos'!D17/NºAsuntos!G17)-Datos!BF17)/Datos!BF17),(('Resol  Asuntos'!D17/NºAsuntos!G17)-Datos!BF17)/Datos!BF17," - ")</f>
        <v>1.097972972972973</v>
      </c>
      <c r="K17" s="465">
        <f>IF(ISNUMBER((((NºAsuntos!C17+NºAsuntos!E17)/NºAsuntos!G17)-Datos!BG17)/Datos!BG17),(((NºAsuntos!C17+NºAsuntos!E17)/NºAsuntos!G17)-Datos!BG17)/Datos!BG17," - ")</f>
        <v>0.21933471933471926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2.0583190394511151E-2</v>
      </c>
      <c r="C18" s="858">
        <f>IF(ISNUMBER(
   IF(Criterios!B14="SI",(Datos!J18-Datos!T18)/Datos!T18,(Datos!J18+Datos!AD18-(Datos!T18+Datos!AL18))/(Datos!T18+Datos!AL18))
     ),IF(Criterios!B14="SI",(Datos!J18-Datos!T18)/Datos!T18,(Datos!J18+Datos!AD18-(Datos!T18+Datos!AL18))/(Datos!T18+Datos!AL18))," - ")</f>
        <v>0.61568627450980395</v>
      </c>
      <c r="D18" s="858">
        <f>IF(ISNUMBER(
   IF(Criterios!B14="SI",(Datos!K18-Datos!U18)/Datos!U18,(Datos!K18+Datos!AE18-(Datos!U18+Datos!AM18))/(Datos!U18+Datos!AM18))
     ),IF(Criterios!B14="SI",(Datos!K18-Datos!U18)/Datos!U18,(Datos!K18+Datos!AE18-(Datos!U18+Datos!AM18))/(Datos!U18+Datos!AM18))," - ")</f>
        <v>0.39212007504690433</v>
      </c>
      <c r="E18" s="858">
        <f>IF(ISNUMBER(
   IF(Criterios!B14="SI",(Datos!L18-Datos!V18)/Datos!V18,(Datos!L18+Datos!AF18-(Datos!V18+Datos!AN18))/(Datos!V18+Datos!AN18))
     ),IF(Criterios!B14="SI",(Datos!L18-Datos!V18)/Datos!V18,(Datos!L18+Datos!AF18-(Datos!V18+Datos!AN18))/(Datos!V18+Datos!AN18))," - ")</f>
        <v>0.22711267605633803</v>
      </c>
      <c r="F18" s="859">
        <f>IF(ISNUMBER((Datos!M18-Datos!W18)/Datos!W18),(Datos!M18-Datos!W18)/Datos!W18," - ")</f>
        <v>-6.25E-2</v>
      </c>
      <c r="G18" s="860">
        <f>IF(ISNUMBER((Datos!N18-Datos!X18)/Datos!X18),(Datos!N18-Datos!X18)/Datos!X18," - ")</f>
        <v>0.84586466165413532</v>
      </c>
      <c r="H18" s="860">
        <f>IF(ISNUMBER(((NºAsuntos!G18/NºAsuntos!E18)-Datos!BD18)/Datos!BD18),((NºAsuntos!G18/NºAsuntos!E18)-Datos!BD18)/Datos!BD18," - ")</f>
        <v>-0.1383722836481539</v>
      </c>
      <c r="I18" s="860">
        <f>IF(ISNUMBER(((NºAsuntos!I18/NºAsuntos!G18)-Datos!BE18)/Datos!BE18),((NºAsuntos!I18/NºAsuntos!G18)-Datos!BE18)/Datos!BE18," - ")</f>
        <v>-0.11852957366842572</v>
      </c>
      <c r="J18" s="860">
        <f>IF(ISNUMBER((('Resol  Asuntos'!D18/NºAsuntos!G18)-Datos!BF18)/Datos!BF18),(('Resol  Asuntos'!D18/NºAsuntos!G18)-Datos!BF18)/Datos!BF18," - ")</f>
        <v>-0.32656671159029649</v>
      </c>
      <c r="K18" s="860">
        <f>IF(ISNUMBER((((NºAsuntos!C18+NºAsuntos!E18)/NºAsuntos!G18)-Datos!BG18)/Datos!BG18),(((NºAsuntos!C18+NºAsuntos!E18)/NºAsuntos!G18)-Datos!BG18)/Datos!BG18," - ")</f>
        <v>-6.7421202802445318E-2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0.22552447552447552</v>
      </c>
      <c r="C19" s="805">
        <f>IF(ISNUMBER(
   IF(J_V="SI",(Datos!J19-Datos!T19)/Datos!T19,(Datos!J19+Datos!Z19-(Datos!T19+Datos!AH19))/(Datos!T19+Datos!AH19))
     ),IF(J_V="SI",(Datos!J19-Datos!T19)/Datos!T19,(Datos!J19+Datos!Z19-(Datos!T19+Datos!AH19))/(Datos!T19+Datos!AH19))," - ")</f>
        <v>0.26418604651162791</v>
      </c>
      <c r="D19" s="805">
        <f>IF(ISNUMBER(
   IF(J_V="SI",(Datos!K19-Datos!U19)/Datos!U19,(Datos!K19+Datos!AA19-(Datos!U19+Datos!AI19))/(Datos!U19+Datos!AI19))
     ),IF(J_V="SI",(Datos!K19-Datos!U19)/Datos!U19,(Datos!K19+Datos!AA19-(Datos!U19+Datos!AI19))/(Datos!U19+Datos!AI19))," - ")</f>
        <v>0.16968541468064824</v>
      </c>
      <c r="E19" s="805">
        <f>IF(ISNUMBER(
   IF(J_V="SI",(Datos!L19-Datos!V19)/Datos!V19,(Datos!L19+Datos!AB19-(Datos!V19+Datos!AJ19))/(Datos!V19+Datos!AJ19))
     ),IF(J_V="SI",(Datos!L19-Datos!V19)/Datos!V19,(Datos!L19+Datos!AB19-(Datos!V19+Datos!AJ19))/(Datos!V19+Datos!AJ19))," - ")</f>
        <v>0.28857142857142859</v>
      </c>
      <c r="F19" s="806">
        <f>IF(ISNUMBER((Datos!M19-Datos!W19)/Datos!W19),(Datos!M19-Datos!W19)/Datos!W19," - ")</f>
        <v>0.14438502673796791</v>
      </c>
      <c r="G19" s="807">
        <f>IF(ISNUMBER((Datos!N19-Datos!X19)/Datos!X19),(Datos!N19-Datos!X19)/Datos!X19," - ")</f>
        <v>0.70990566037735847</v>
      </c>
      <c r="H19" s="808">
        <f>IF(ISNUMBER((Tasas!B19-Datos!BD19)/Datos!BD19),(Tasas!B19-Datos!BD19)/Datos!BD19," - ")</f>
        <v>-7.4752155421856661E-2</v>
      </c>
      <c r="I19" s="809">
        <f>IF(ISNUMBER((Tasas!C19-Datos!BE19)/Datos!BE19),(Tasas!C19-Datos!BE19)/Datos!BE19," - ")</f>
        <v>0.10163930608918392</v>
      </c>
      <c r="J19" s="810">
        <f>IF(ISNUMBER((Tasas!D19-Datos!BF19)/Datos!BF19),(Tasas!D19-Datos!BF19)/Datos!BF19," - ")</f>
        <v>-0.27970403455069343</v>
      </c>
      <c r="K19" s="810">
        <f>IF(ISNUMBER((Tasas!E19-Datos!BG19)/Datos!BG19),(Tasas!E19-Datos!BG19)/Datos!BG19," - ")</f>
        <v>6.046942714050297E-2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eIiGQGo4MDVmYv+BC8SXD4so7PbvqlYiMDPP9mpCQN5hQX2fylbvy0NlWf6aNdO1mCPxjy6Bfm0I9JKFK0iqA==" saltValue="mG8iyCgUHLwGMDOyZRn+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HUERCAL-OVERA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0.53846153846153844</v>
      </c>
      <c r="C10" s="446">
        <f>IF(ISNUMBER(NºAsuntos!I10/NºAsuntos!G10),NºAsuntos!I10/NºAsuntos!G10," - ")</f>
        <v>6</v>
      </c>
      <c r="D10" s="447">
        <f>IF(ISNUMBER('Resol  Asuntos'!D10/NºAsuntos!G10),'Resol  Asuntos'!D10/NºAsuntos!G10," - ")</f>
        <v>0.2857142857142857</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0.91570881226053635</v>
      </c>
      <c r="C12" s="446">
        <f>IF(ISNUMBER(NºAsuntos!I12/NºAsuntos!G12),NºAsuntos!I12/NºAsuntos!G12," - ")</f>
        <v>3.1715481171548117</v>
      </c>
      <c r="D12" s="447">
        <f>IF(ISNUMBER('Resol  Asuntos'!D12/NºAsuntos!G12),'Resol  Asuntos'!D12/NºAsuntos!G12," - ")</f>
        <v>0.25523012552301255</v>
      </c>
      <c r="E12" s="448">
        <f>IF(ISNUMBER((NºAsuntos!C12+NºAsuntos!E12)/NºAsuntos!G12),(NºAsuntos!C12+NºAsuntos!E12)/NºAsuntos!G12," - ")</f>
        <v>4.1715481171548117</v>
      </c>
      <c r="G12" s="466"/>
    </row>
    <row r="13" spans="1:7" ht="14.25" thickTop="1" thickBot="1">
      <c r="A13" s="851" t="str">
        <f>Datos!A13</f>
        <v>TOTAL</v>
      </c>
      <c r="B13" s="861">
        <f>IF(ISNUMBER(NºAsuntos!G13/NºAsuntos!E13),NºAsuntos!G13/NºAsuntos!E13," - ")</f>
        <v>0.90654205607476634</v>
      </c>
      <c r="C13" s="862">
        <f>IF(ISNUMBER(NºAsuntos!I13/NºAsuntos!G13),NºAsuntos!I13/NºAsuntos!G13," - ")</f>
        <v>3.2123711340206187</v>
      </c>
      <c r="D13" s="863">
        <f>IF(ISNUMBER('Resol  Asuntos'!D13/NºAsuntos!G13),'Resol  Asuntos'!D13/NºAsuntos!G13," - ")</f>
        <v>0.25567010309278349</v>
      </c>
      <c r="E13" s="864">
        <f>IF(ISNUMBER((NºAsuntos!C13+NºAsuntos!E13)/NºAsuntos!G13),(NºAsuntos!C13+NºAsuntos!E13)/NºAsuntos!G13," - ")</f>
        <v>4.2123711340206187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0.89185580774365825</v>
      </c>
      <c r="C16" s="446">
        <f>IF(ISNUMBER(NºAsuntos!I16/NºAsuntos!G16),NºAsuntos!I16/NºAsuntos!G16," - ")</f>
        <v>0.9760479041916168</v>
      </c>
      <c r="D16" s="447">
        <f>IF(ISNUMBER('Resol  Asuntos'!D16/NºAsuntos!G16),'Resol  Asuntos'!D16/NºAsuntos!G16," - ")</f>
        <v>0.10778443113772455</v>
      </c>
      <c r="E16" s="448">
        <f>IF(ISNUMBER((NºAsuntos!C16+NºAsuntos!E16)/NºAsuntos!G16),(NºAsuntos!C16+NºAsuntos!E16)/NºAsuntos!G16," - ")</f>
        <v>1.9461077844311376</v>
      </c>
      <c r="G16" s="466"/>
    </row>
    <row r="17" spans="1:7" ht="13.5" thickBot="1">
      <c r="A17" s="405" t="str">
        <f>Datos!A17</f>
        <v>Jdos. Violencia contra la mujer</v>
      </c>
      <c r="B17" s="445">
        <f>IF(ISNUMBER(NºAsuntos!G17/NºAsuntos!E17),NºAsuntos!G17/NºAsuntos!E17," - ")</f>
        <v>0.98666666666666669</v>
      </c>
      <c r="C17" s="446">
        <f>IF(ISNUMBER(NºAsuntos!I17/NºAsuntos!G17),NºAsuntos!I17/NºAsuntos!G17," - ")</f>
        <v>0.60810810810810811</v>
      </c>
      <c r="D17" s="447">
        <f>IF(ISNUMBER('Resol  Asuntos'!D17/NºAsuntos!G17),'Resol  Asuntos'!D17/NºAsuntos!G17," - ")</f>
        <v>0.24324324324324326</v>
      </c>
      <c r="E17" s="448">
        <f>IF(ISNUMBER((NºAsuntos!C17+NºAsuntos!E17)/NºAsuntos!G17),(NºAsuntos!C17+NºAsuntos!E17)/NºAsuntos!G17," - ")</f>
        <v>1.6081081081081081</v>
      </c>
      <c r="G17" s="466"/>
    </row>
    <row r="18" spans="1:7" ht="14.25" thickTop="1" thickBot="1">
      <c r="A18" s="851" t="str">
        <f>Datos!A18</f>
        <v>TOTAL</v>
      </c>
      <c r="B18" s="861">
        <f>IF(ISNUMBER(NºAsuntos!G18/NºAsuntos!E18),NºAsuntos!G18/NºAsuntos!E18," - ")</f>
        <v>0.90048543689320393</v>
      </c>
      <c r="C18" s="862">
        <f>IF(ISNUMBER(NºAsuntos!I18/NºAsuntos!G18),NºAsuntos!I18/NºAsuntos!G18," - ")</f>
        <v>0.93935309973045822</v>
      </c>
      <c r="D18" s="865">
        <f>IF(ISNUMBER('Resol  Asuntos'!D18/NºAsuntos!G18),'Resol  Asuntos'!D18/NºAsuntos!G18," - ")</f>
        <v>0.12129380053908356</v>
      </c>
      <c r="E18" s="864">
        <f>IF(ISNUMBER((NºAsuntos!C18+NºAsuntos!E18)/NºAsuntos!G18),(NºAsuntos!C18+NºAsuntos!E18)/NºAsuntos!G18," - ")</f>
        <v>1.9123989218328841</v>
      </c>
      <c r="G18" s="466"/>
    </row>
    <row r="19" spans="1:7" ht="15.75" customHeight="1" thickTop="1" thickBot="1">
      <c r="A19" s="796" t="str">
        <f>Datos!A19</f>
        <v>TOTAL JURISDICCIONES</v>
      </c>
      <c r="B19" s="811">
        <f>IF(ISNUMBER(NºAsuntos!G19/NºAsuntos!E19),NºAsuntos!G19/NºAsuntos!E19," - ")</f>
        <v>0.90286975717439288</v>
      </c>
      <c r="C19" s="812">
        <f>IF(ISNUMBER(NºAsuntos!I19/NºAsuntos!G19),NºAsuntos!I19/NºAsuntos!G19," - ")</f>
        <v>1.8378158109209455</v>
      </c>
      <c r="D19" s="813">
        <f>IF(ISNUMBER('Resol  Asuntos'!D19/NºAsuntos!G19),'Resol  Asuntos'!D19/NºAsuntos!G19," - ")</f>
        <v>0.17440912795436023</v>
      </c>
      <c r="E19" s="814">
        <f>IF(ISNUMBER((NºAsuntos!C19+NºAsuntos!E19)/NºAsuntos!G19),(NºAsuntos!C19+NºAsuntos!E19)/NºAsuntos!G19," - ")</f>
        <v>2.8215158924205377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SbHW9KSFEfUc1ac+BA9Nw7agiJ5OsovIXnaT569ypFHrNgcxP+AeUoGktjFvrRv8CqU/oWtLTXcF9IR3vlrUw==" saltValue="RkiW9FEK/P9KO0fZ7zEg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HUERCAL-OVERA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1</v>
      </c>
      <c r="Y10" s="337">
        <f t="shared" ref="Y10:Y12" si="0">SUM(W10:X10)</f>
        <v>8</v>
      </c>
      <c r="Z10" s="338" t="str">
        <f>IF(ISNUMBER(Datos!CC10),Datos!CC10," - ")</f>
        <v xml:space="preserve"> - </v>
      </c>
      <c r="AA10" s="335">
        <f>IF(ISNUMBER(Datos!L10),Datos!L10,"-")</f>
        <v>42</v>
      </c>
      <c r="AB10" s="337">
        <f>IF(ISNUMBER(Datos!R10),Datos!R10," - ")</f>
        <v>11</v>
      </c>
      <c r="AC10" s="337">
        <f t="shared" ref="AC10:AC12" si="1">IF(ISNUMBER(AA10+AB10),AA10+AB10," - ")</f>
        <v>53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0.53846153846153844</v>
      </c>
      <c r="AM10" s="263">
        <f>IF(ISNUMBER(((NºAsuntos!I10/NºAsuntos!G10)*11)/factor_trimestre),((NºAsuntos!I10/NºAsuntos!G10)*11)/factor_trimestre," - ")</f>
        <v>18</v>
      </c>
      <c r="AN10" s="247">
        <f>IF(ISNUMBER('Resol  Asuntos'!D10/NºAsuntos!G10),'Resol  Asuntos'!D10/NºAsuntos!G10," - ")</f>
        <v>0.2857142857142857</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80</v>
      </c>
      <c r="Y12" s="337">
        <f t="shared" si="0"/>
        <v>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2785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122</v>
      </c>
      <c r="AJ12" s="232" t="str">
        <f>IF(ISNUMBER(Datos!BW12),Datos!BW12," - ")</f>
        <v xml:space="preserve"> - </v>
      </c>
      <c r="AK12" s="231" t="str">
        <f>IF(ISNUMBER(Datos!BX12),Datos!BX12," - ")</f>
        <v xml:space="preserve"> - </v>
      </c>
      <c r="AL12" s="246">
        <f>IF(ISNUMBER(NºAsuntos!G12/NºAsuntos!E12),NºAsuntos!G12/NºAsuntos!E12," - ")</f>
        <v>0.91570881226053635</v>
      </c>
      <c r="AM12" s="263">
        <f>IF(ISNUMBER(((NºAsuntos!I12/NºAsuntos!G12)*11)/factor_trimestre),((NºAsuntos!I12/NºAsuntos!G12)*11)/factor_trimestre," - ")</f>
        <v>9.514644351464435</v>
      </c>
      <c r="AN12" s="247">
        <f>IF(ISNUMBER('Resol  Asuntos'!D12/NºAsuntos!G12),'Resol  Asuntos'!D12/NºAsuntos!G12," - ")</f>
        <v>0.25523012552301255</v>
      </c>
      <c r="AO12" s="248">
        <f>IF(ISNUMBER((NºAsuntos!C12+NºAsuntos!E12)/NºAsuntos!G12),(NºAsuntos!C12+NºAsuntos!E12)/NºAsuntos!G12," - ")</f>
        <v>4.1715481171548117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36</v>
      </c>
      <c r="G13" s="869">
        <f t="shared" si="3"/>
        <v>36</v>
      </c>
      <c r="H13" s="868">
        <f t="shared" si="3"/>
        <v>0</v>
      </c>
      <c r="I13" s="870">
        <f t="shared" si="3"/>
        <v>0</v>
      </c>
      <c r="J13" s="870">
        <f t="shared" si="3"/>
        <v>0</v>
      </c>
      <c r="K13" s="870">
        <f t="shared" si="3"/>
        <v>0</v>
      </c>
      <c r="L13" s="870">
        <f t="shared" si="3"/>
        <v>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81</v>
      </c>
      <c r="Y13" s="871">
        <f t="shared" si="4"/>
        <v>88</v>
      </c>
      <c r="Z13" s="871">
        <f t="shared" si="4"/>
        <v>0</v>
      </c>
      <c r="AA13" s="871">
        <f t="shared" si="4"/>
        <v>42</v>
      </c>
      <c r="AB13" s="871">
        <f t="shared" si="4"/>
        <v>2796</v>
      </c>
      <c r="AC13" s="871">
        <f t="shared" si="4"/>
        <v>53</v>
      </c>
      <c r="AD13" s="871">
        <f t="shared" si="4"/>
        <v>0</v>
      </c>
      <c r="AE13" s="875">
        <f t="shared" si="4"/>
        <v>0</v>
      </c>
      <c r="AF13" s="868">
        <f t="shared" si="4"/>
        <v>0</v>
      </c>
      <c r="AG13" s="876">
        <f t="shared" si="4"/>
        <v>0</v>
      </c>
      <c r="AH13" s="873">
        <f t="shared" si="4"/>
        <v>0</v>
      </c>
      <c r="AI13" s="868">
        <f t="shared" si="4"/>
        <v>124</v>
      </c>
      <c r="AJ13" s="870">
        <f t="shared" si="4"/>
        <v>0</v>
      </c>
      <c r="AK13" s="873">
        <f>SUBTOTAL(9,AK9:AK12)</f>
        <v>0</v>
      </c>
      <c r="AL13" s="877">
        <f>IF(ISNUMBER(NºAsuntos!G13/NºAsuntos!E13),NºAsuntos!G13/NºAsuntos!E13," - ")</f>
        <v>0.90654205607476634</v>
      </c>
      <c r="AM13" s="877">
        <f>IF(ISNUMBER(((NºAsuntos!I13/NºAsuntos!G13)*11)/factor_trimestre),((NºAsuntos!I13/NºAsuntos!G13)*11)/factor_trimestre," - ")</f>
        <v>9.637113402061857</v>
      </c>
      <c r="AN13" s="878">
        <f>IF(ISNUMBER('Resol  Asuntos'!D13/NºAsuntos!G13),'Resol  Asuntos'!D13/NºAsuntos!G13," - ")</f>
        <v>0.25567010309278349</v>
      </c>
      <c r="AO13" s="879">
        <f>IF(ISNUMBER((NºAsuntos!C13+NºAsuntos!E13)/NºAsuntos!G13),(NºAsuntos!C13+NºAsuntos!E13)/NºAsuntos!G13," - ")</f>
        <v>4.2123711340206187</v>
      </c>
      <c r="AP13" s="880" t="str">
        <f t="shared" si="2"/>
        <v xml:space="preserve"> - </v>
      </c>
      <c r="AQ13" s="880">
        <f>IF(ISNUMBER((H13-W13+K13)/(F13)),(H13-W13+K13)/(F13)," - ")</f>
        <v>-0.19444444444444445</v>
      </c>
      <c r="AR13" s="881">
        <f>IF(ISNUMBER((Datos!P13-Datos!Q13)/(Datos!R13-Datos!P13+Datos!Q13)),(Datos!P13-Datos!Q13)/(Datos!R13-Datos!P13+Datos!Q13)," - ")</f>
        <v>2.1505376344086021E-3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571</v>
      </c>
      <c r="G16" s="336">
        <f>IF(ISNUMBER(IF(D_I="SI",Datos!I16,Datos!I16+Datos!AC16)),IF(D_I="SI",Datos!I16,Datos!I16+Datos!AC16)," - ")</f>
        <v>551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668</v>
      </c>
      <c r="X16" s="229">
        <f>IF(ISNUMBER(Datos!Q16),Datos!Q16," - ")</f>
        <v>18</v>
      </c>
      <c r="Y16" s="337">
        <f t="shared" ref="Y16:Y17" si="7">SUM(W16:X16)</f>
        <v>686</v>
      </c>
      <c r="Z16" s="338" t="str">
        <f>IF(ISNUMBER(Datos!CC16),Datos!CC16," - ")</f>
        <v xml:space="preserve"> - </v>
      </c>
      <c r="AA16" s="335">
        <f>IF(ISNUMBER(IF(D_I="SI",Datos!L16,Datos!L16+Datos!AF16)),IF(D_I="SI",Datos!L16,Datos!L16+Datos!AF16)," - ")</f>
        <v>652</v>
      </c>
      <c r="AB16" s="337">
        <f>IF(ISNUMBER(Datos!R16),Datos!R16," - ")</f>
        <v>77</v>
      </c>
      <c r="AC16" s="337">
        <f t="shared" si="6"/>
        <v>729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0.89185580774365825</v>
      </c>
      <c r="AM16" s="263">
        <f>IF(ISNUMBER(((NºAsuntos!I16/NºAsuntos!G16)*11)/factor_trimestre),((NºAsuntos!I16/NºAsuntos!G16)*11)/factor_trimestre," - ")</f>
        <v>2.9281437125748506</v>
      </c>
      <c r="AN16" s="247">
        <f>IF(ISNUMBER('Resol  Asuntos'!D16/NºAsuntos!G16),'Resol  Asuntos'!D16/NºAsuntos!G16," - ")</f>
        <v>0.10778443113772455</v>
      </c>
      <c r="AO16" s="248">
        <f>IF(ISNUMBER((NºAsuntos!C16+NºAsuntos!E16)/NºAsuntos!G16),(NºAsuntos!C16+NºAsuntos!E16)/NºAsuntos!G16," - ")</f>
        <v>1.9461077844311376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74</v>
      </c>
      <c r="X17" s="229">
        <f>IF(ISNUMBER(Datos!Q17),Datos!Q17," - ")</f>
        <v>2</v>
      </c>
      <c r="Y17" s="337">
        <f t="shared" si="7"/>
        <v>76</v>
      </c>
      <c r="Z17" s="338" t="str">
        <f>IF(ISNUMBER(Datos!CC17),Datos!CC17," - ")</f>
        <v xml:space="preserve"> - </v>
      </c>
      <c r="AA17" s="335">
        <f>IF(ISNUMBER(Datos!L17),Datos!L17,"-")</f>
        <v>45</v>
      </c>
      <c r="AB17" s="337">
        <f>IF(ISNUMBER(Datos!R17),Datos!R17," - ")</f>
        <v>1</v>
      </c>
      <c r="AC17" s="337">
        <f t="shared" si="6"/>
        <v>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0.98666666666666669</v>
      </c>
      <c r="AM17" s="263">
        <f>IF(ISNUMBER(((NºAsuntos!I17/NºAsuntos!G17)*11)/factor_trimestre),((NºAsuntos!I17/NºAsuntos!G17)*11)/factor_trimestre," - ")</f>
        <v>1.8243243243243246</v>
      </c>
      <c r="AN17" s="247">
        <f>IF(ISNUMBER('Resol  Asuntos'!D17/NºAsuntos!G17),'Resol  Asuntos'!D17/NºAsuntos!G17," - ")</f>
        <v>0.24324324324324326</v>
      </c>
      <c r="AO17" s="248">
        <f>IF(ISNUMBER((NºAsuntos!C17+NºAsuntos!E17)/NºAsuntos!G17),(NºAsuntos!C17+NºAsuntos!E17)/NºAsuntos!G17," - ")</f>
        <v>1.6081081081081081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571</v>
      </c>
      <c r="G18" s="869">
        <f>SUBTOTAL(9,G15:G17)</f>
        <v>595</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742</v>
      </c>
      <c r="X18" s="870">
        <f t="shared" si="11"/>
        <v>20</v>
      </c>
      <c r="Y18" s="871">
        <f t="shared" si="11"/>
        <v>762</v>
      </c>
      <c r="Z18" s="871">
        <f t="shared" si="11"/>
        <v>0</v>
      </c>
      <c r="AA18" s="871">
        <f t="shared" si="11"/>
        <v>697</v>
      </c>
      <c r="AB18" s="871">
        <f t="shared" si="11"/>
        <v>78</v>
      </c>
      <c r="AC18" s="871">
        <f t="shared" si="11"/>
        <v>775</v>
      </c>
      <c r="AD18" s="871">
        <f t="shared" si="11"/>
        <v>0</v>
      </c>
      <c r="AE18" s="875">
        <f t="shared" si="11"/>
        <v>0</v>
      </c>
      <c r="AF18" s="868">
        <f t="shared" si="11"/>
        <v>0</v>
      </c>
      <c r="AG18" s="876">
        <f t="shared" si="11"/>
        <v>0</v>
      </c>
      <c r="AH18" s="873">
        <f t="shared" si="11"/>
        <v>0</v>
      </c>
      <c r="AI18" s="868">
        <f t="shared" si="11"/>
        <v>90</v>
      </c>
      <c r="AJ18" s="870">
        <f t="shared" si="11"/>
        <v>0</v>
      </c>
      <c r="AK18" s="873">
        <f t="shared" si="11"/>
        <v>0</v>
      </c>
      <c r="AL18" s="877">
        <f>IF(ISNUMBER(NºAsuntos!G18/NºAsuntos!E18),NºAsuntos!G18/NºAsuntos!E18," - ")</f>
        <v>0.90048543689320393</v>
      </c>
      <c r="AM18" s="877">
        <f>IF(ISNUMBER(((NºAsuntos!I18/NºAsuntos!G18)*11)/factor_trimestre),((NºAsuntos!I18/NºAsuntos!G18)*11)/factor_trimestre," - ")</f>
        <v>2.8180592991913751</v>
      </c>
      <c r="AN18" s="878">
        <f>IF(ISNUMBER('Resol  Asuntos'!D18/NºAsuntos!G18),'Resol  Asuntos'!D18/NºAsuntos!G18," - ")</f>
        <v>0.12129380053908356</v>
      </c>
      <c r="AO18" s="879">
        <f>IF(ISNUMBER((NºAsuntos!C18+NºAsuntos!E18)/NºAsuntos!G18),(NºAsuntos!C18+NºAsuntos!E18)/NºAsuntos!G18," - ")</f>
        <v>1.9123989218328841</v>
      </c>
      <c r="AP18" s="880" t="str">
        <f t="shared" si="2"/>
        <v xml:space="preserve"> - </v>
      </c>
      <c r="AQ18" s="880">
        <f>IF(ISNUMBER((H18-W18+K18)/(F18)),(H18-W18+K18)/(F18)," - ")</f>
        <v>-1.299474605954466</v>
      </c>
      <c r="AR18" s="881">
        <f>IF(ISNUMBER((Datos!P18-Datos!Q18)/(Datos!R18-Datos!P18+Datos!Q18)),(Datos!P18-Datos!Q18)/(Datos!R18-Datos!P18+Datos!Q18)," - ")</f>
        <v>-0.11363636363636363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607</v>
      </c>
      <c r="G19" s="824">
        <f t="shared" si="13"/>
        <v>631</v>
      </c>
      <c r="H19" s="823">
        <f t="shared" si="13"/>
        <v>0</v>
      </c>
      <c r="I19" s="825">
        <f t="shared" si="13"/>
        <v>0</v>
      </c>
      <c r="J19" s="825">
        <f t="shared" si="13"/>
        <v>0</v>
      </c>
      <c r="K19" s="884">
        <f t="shared" si="13"/>
        <v>0</v>
      </c>
      <c r="L19" s="825">
        <f t="shared" si="13"/>
        <v>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749</v>
      </c>
      <c r="X19" s="824">
        <f t="shared" si="14"/>
        <v>101</v>
      </c>
      <c r="Y19" s="831">
        <f t="shared" si="14"/>
        <v>850</v>
      </c>
      <c r="Z19" s="831">
        <f t="shared" si="14"/>
        <v>0</v>
      </c>
      <c r="AA19" s="831">
        <f t="shared" si="14"/>
        <v>739</v>
      </c>
      <c r="AB19" s="831">
        <f t="shared" si="14"/>
        <v>2874</v>
      </c>
      <c r="AC19" s="831">
        <f t="shared" si="14"/>
        <v>828</v>
      </c>
      <c r="AD19" s="831">
        <f t="shared" si="14"/>
        <v>0</v>
      </c>
      <c r="AE19" s="833">
        <f t="shared" si="14"/>
        <v>0</v>
      </c>
      <c r="AF19" s="834">
        <f t="shared" si="14"/>
        <v>0</v>
      </c>
      <c r="AG19" s="835">
        <f t="shared" si="14"/>
        <v>0</v>
      </c>
      <c r="AH19" s="833">
        <f t="shared" si="14"/>
        <v>0</v>
      </c>
      <c r="AI19" s="823">
        <f t="shared" si="14"/>
        <v>214</v>
      </c>
      <c r="AJ19" s="823">
        <f t="shared" si="14"/>
        <v>0</v>
      </c>
      <c r="AK19" s="833">
        <f t="shared" si="14"/>
        <v>0</v>
      </c>
      <c r="AL19" s="887">
        <f>IF(ISNUMBER(NºAsuntos!G19/NºAsuntos!E19),NºAsuntos!G19/NºAsuntos!E19," - ")</f>
        <v>0.90286975717439288</v>
      </c>
      <c r="AM19" s="888">
        <f>IF(ISNUMBER(((NºAsuntos!I19/NºAsuntos!G19)*11)/factor_trimestre),((NºAsuntos!I19/NºAsuntos!G19)*11)/factor_trimestre," - ")</f>
        <v>5.5134474327628373</v>
      </c>
      <c r="AN19" s="888">
        <f>IF(ISNUMBER('Resol  Asuntos'!D19/NºAsuntos!G19),'Resol  Asuntos'!D19/NºAsuntos!G19," - ")</f>
        <v>0.17440912795436023</v>
      </c>
      <c r="AO19" s="889">
        <f>IF(ISNUMBER((NºAsuntos!C19+NºAsuntos!E19)/NºAsuntos!G19),(NºAsuntos!C19+NºAsuntos!E19)/NºAsuntos!G19," - ")</f>
        <v>2.8215158924205377</v>
      </c>
      <c r="AP19" s="890" t="str">
        <f t="shared" si="2"/>
        <v xml:space="preserve"> - </v>
      </c>
      <c r="AQ19" s="891">
        <f>IF(OR(ISNUMBER(FIND("01",Criterios!A8,1)),ISNUMBER(FIND("02",Criterios!A8,1)),ISNUMBER(FIND("03",Criterios!A8,1)),ISNUMBER(FIND("04",Criterios!A8,1))),(I19-W19+K19)/(F19-K19),(H19-W19+K19)/(F19-K19))</f>
        <v>-1.2339373970345964</v>
      </c>
      <c r="AR19" s="892">
        <f>IF(ISNUMBER((Datos!P19-Datos!Q19)/(Datos!R19-Datos!P19+Datos!Q19)),(Datos!P19-Datos!Q19)/(Datos!R19-Datos!P19+Datos!Q19)," - ")</f>
        <v>-1.389854065323141E-3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308.88239401644978</v>
      </c>
      <c r="G21" s="256">
        <f>IF(ISNUMBER(STDEV(G8:G18)),STDEV(G8:G18),"-")</f>
        <v>293.09776525930732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372.00846764556314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51.655267559723917</v>
      </c>
      <c r="AJ21" s="255">
        <f t="shared" si="18"/>
        <v>0</v>
      </c>
      <c r="AK21" s="257">
        <f t="shared" si="18"/>
        <v>0</v>
      </c>
      <c r="AL21" s="252">
        <f t="shared" si="18"/>
        <v>0.15955336428787015</v>
      </c>
      <c r="AM21" s="253">
        <f t="shared" si="18"/>
        <v>6.2273417171127781</v>
      </c>
      <c r="AN21" s="253">
        <f t="shared" si="18"/>
        <v>7.6515086804994123E-2</v>
      </c>
      <c r="AO21" s="254">
        <f t="shared" si="18"/>
        <v>2.0841803805615702</v>
      </c>
      <c r="AP21" s="294" t="str">
        <f t="shared" si="18"/>
        <v>-</v>
      </c>
      <c r="AQ21" s="295">
        <f t="shared" si="18"/>
        <v>0.78137432061940193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kQUGpnlfhB+HWs0XD0XkboSPc1LNHlGcozpgF7oU9iINN5zniTT7gpj62EJPGsJ6rJ559IV3LbKhfo7DyFH3g==" saltValue="bOQ+utbFlk42/GvJrQuy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HUERCAL-OVERA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-5.2631578947368418E-2</v>
      </c>
      <c r="E10" s="351">
        <f>IF(ISNUMBER((Datos!J10-Datos!T10)/Datos!T10),(Datos!J10-Datos!T10)/Datos!T10," - ")</f>
        <v>0.625</v>
      </c>
      <c r="F10" s="351">
        <f>IF(ISNUMBER((Datos!K10-Datos!U10)/Datos!U10),(Datos!K10-Datos!U10)/Datos!U10," - ")</f>
        <v>-0.3</v>
      </c>
      <c r="G10" s="352">
        <f>IF(ISNUMBER((Datos!L10-Datos!V10)/Datos!V10),(Datos!L10-Datos!V10)/Datos!V10," - ")</f>
        <v>0.16666666666666666</v>
      </c>
      <c r="H10" s="233" t="str">
        <f>IF(ISNUMBER((Datos!M10-Datos!W10)/Datos!W10),(Datos!M10-Datos!W10)/Datos!W10," - ")</f>
        <v xml:space="preserve"> - </v>
      </c>
      <c r="I10" s="353">
        <f>IF(ISNUMBER((Tasas!C10-Datos!BE10)/Datos!BE10),(Tasas!C10-Datos!BE10)/Datos!BE10," - ")</f>
        <v>0.66666666666666663</v>
      </c>
      <c r="J10" s="352" t="str">
        <f>IF(ISNUMBER((Tasas!D10-Datos!BF10)/Datos!BF10),(Tasas!D10-Datos!BF10)/Datos!BF10," - ")</f>
        <v xml:space="preserve"> - </v>
      </c>
      <c r="K10" s="354">
        <f>IF(ISNUMBER((Tasas!E10-Datos!BG10)/Datos!BG10),(Tasas!E10-Datos!BG10)/Datos!BG10," - ")</f>
        <v>0.52173913043478271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0.34065934065934067</v>
      </c>
      <c r="I12" s="353">
        <f>IF(ISNUMBER((Tasas!C12-Datos!BE12)/Datos!BE12),(Tasas!C12-Datos!BE12)/Datos!BE12," - ")</f>
        <v>0.40035196097760456</v>
      </c>
      <c r="J12" s="352">
        <f>IF(ISNUMBER((Tasas!D12-Datos!BF12)/Datos!BF12),(Tasas!D12-Datos!BF12)/Datos!BF12," - ")</f>
        <v>-0.18261744610984582</v>
      </c>
      <c r="K12" s="354">
        <f>IF(ISNUMBER((Tasas!E12-Datos!BG12)/Datos!BG12),(Tasas!E12-Datos!BG12)/Datos!BG12," - ")</f>
        <v>0.27772599714305984</v>
      </c>
      <c r="M12" t="e">
        <f>IF(Monitorios="SI",Datos!CE12,0)</f>
        <v>#REF!</v>
      </c>
      <c r="N12" t="e">
        <f>IF(Monitorios="SI",Datos!CF12,0)</f>
        <v>#REF!</v>
      </c>
      <c r="O12" t="e">
        <f>IF(Monitorios="SI",Datos!CG12,0)</f>
        <v>#REF!</v>
      </c>
      <c r="P12" t="e">
        <f>IF(Monitorios="SI",Datos!CH12,0)</f>
        <v>#REF!</v>
      </c>
      <c r="Q12">
        <f>IF(J_V="SI",0,Datos!AG12)</f>
        <v>43</v>
      </c>
      <c r="R12">
        <f>IF(J_V="SI",0,Datos!AH12)</f>
        <v>41</v>
      </c>
      <c r="S12">
        <f>IF(J_V="SI",0,Datos!AI12)</f>
        <v>37</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0.36263736263736263</v>
      </c>
      <c r="I13" s="360">
        <f>IF(ISNUMBER((Tasas!C13-Datos!BE13)/Datos!BE13),(Tasas!C13-Datos!BE13)/Datos!BE13," - ")</f>
        <v>0.40235491129834111</v>
      </c>
      <c r="J13" s="358">
        <f>IF(ISNUMBER((Tasas!D13-Datos!BF13)/Datos!BF13),(Tasas!D13-Datos!BF13)/Datos!BF13," - ")</f>
        <v>-0.16502675192483365</v>
      </c>
      <c r="K13" s="361">
        <f>IF(ISNUMBER((Tasas!E13-Datos!BG13)/Datos!BG13),(Tasas!E13-Datos!BG13)/Datos!BG13," - ")</f>
        <v>0.28008451422534697</v>
      </c>
      <c r="M13" t="e">
        <f>IF(Monitorios="SI",Datos!CE13,0)</f>
        <v>#REF!</v>
      </c>
      <c r="N13" t="e">
        <f>IF(Monitorios="SI",Datos!CF13,0)</f>
        <v>#REF!</v>
      </c>
      <c r="O13" t="e">
        <f>IF(Monitorios="SI",Datos!CG13,0)</f>
        <v>#REF!</v>
      </c>
      <c r="P13" t="e">
        <f>IF(Monitorios="SI",Datos!CH13,0)</f>
        <v>#REF!</v>
      </c>
      <c r="Q13">
        <f>IF(J_V="SI",0,Datos!AG13)</f>
        <v>43</v>
      </c>
      <c r="R13">
        <f>IF(J_V="SI",0,Datos!AH13)</f>
        <v>41</v>
      </c>
      <c r="S13">
        <f>IF(J_V="SI",0,Datos!AI13)</f>
        <v>37</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-1.607142857142857E-2</v>
      </c>
      <c r="E16" s="351">
        <f>IF(ISNUMBER(
   IF(D_I="SI",(Datos!J16-Datos!T16)/Datos!T16,(Datos!J16+Datos!AD16-(Datos!T16+Datos!AL16))/(Datos!T16+Datos!AL16))
     ),IF(D_I="SI",(Datos!J16-Datos!T16)/Datos!T16,(Datos!J16+Datos!AD16-(Datos!T16+Datos!AL16))/(Datos!T16+Datos!AL16))," - ")</f>
        <v>0.69457013574660631</v>
      </c>
      <c r="F16" s="351">
        <f>IF(ISNUMBER(
   IF(D_I="SI",(Datos!K16-Datos!U16)/Datos!U16,(Datos!K16+Datos!AE16-(Datos!U16+Datos!AM16))/(Datos!U16+Datos!AM16))
     ),IF(D_I="SI",(Datos!K16-Datos!U16)/Datos!U16,(Datos!K16+Datos!AE16-(Datos!U16+Datos!AM16))/(Datos!U16+Datos!AM16))," - ")</f>
        <v>0.43965517241379309</v>
      </c>
      <c r="G16" s="352">
        <f>IF(ISNUMBER(
   IF(D_I="SI",(Datos!L16-Datos!V16)/Datos!V16,(Datos!L16+Datos!AF16-(Datos!V16+Datos!AN16))/(Datos!V16+Datos!AN16))
     ),IF(D_I="SI",(Datos!L16-Datos!V16)/Datos!V16,(Datos!L16+Datos!AF16-(Datos!V16+Datos!AN16))/(Datos!V16+Datos!AN16))," - ")</f>
        <v>0.19413919413919414</v>
      </c>
      <c r="H16" s="233">
        <f>IF(ISNUMBER((Datos!M16-Datos!W16)/Datos!W16),(Datos!M16-Datos!W16)/Datos!W16," - ")</f>
        <v>-0.18181818181818182</v>
      </c>
      <c r="I16" s="353">
        <f>IF(ISNUMBER((Tasas!C16-Datos!BE16)/Datos!BE16),(Tasas!C16-Datos!BE16)/Datos!BE16," - ")</f>
        <v>-0.17053804478954177</v>
      </c>
      <c r="J16" s="352">
        <f>IF(ISNUMBER((Tasas!D16-Datos!BF16)/Datos!BF16),(Tasas!D16-Datos!BF16)/Datos!BF16," - ")</f>
        <v>-0.43168209036472505</v>
      </c>
      <c r="K16" s="354">
        <f>IF(ISNUMBER((Tasas!E16-Datos!BG16)/Datos!BG16),(Tasas!E16-Datos!BG16)/Datos!BG16," - ")</f>
        <v>-9.8808371281389293E-2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0.91304347826086951</v>
      </c>
      <c r="E17" s="351">
        <f>IF(ISNUMBER(
   IF(D_I="SI",(Datos!J17-Datos!T17)/Datos!T17,(Datos!J17+Datos!AD17-(Datos!T17+Datos!AL17))/(Datos!T17+Datos!AL17))
     ),IF(D_I="SI",(Datos!J17-Datos!T17)/Datos!T17,(Datos!J17+Datos!AD17-(Datos!T17+Datos!AL17))/(Datos!T17+Datos!AL17))," - ")</f>
        <v>0.10294117647058823</v>
      </c>
      <c r="F17" s="351">
        <f>IF(ISNUMBER(
   IF(D_I="SI",(Datos!K17-Datos!U17)/Datos!U17,(Datos!K17+Datos!AE17-(Datos!U17+Datos!AM17))/(Datos!U17+Datos!AM17))
     ),IF(D_I="SI",(Datos!K17-Datos!U17)/Datos!U17,(Datos!K17+Datos!AE17-(Datos!U17+Datos!AM17))/(Datos!U17+Datos!AM17))," - ")</f>
        <v>7.2463768115942032E-2</v>
      </c>
      <c r="G17" s="352">
        <f>IF(ISNUMBER(
   IF(D_I="SI",(Datos!L17-Datos!V17)/Datos!V17,(Datos!L17+Datos!AF17-(Datos!V17+Datos!AN17))/(Datos!V17+Datos!AN17))
     ),IF(D_I="SI",(Datos!L17-Datos!V17)/Datos!V17,(Datos!L17+Datos!AF17-(Datos!V17+Datos!AN17))/(Datos!V17+Datos!AN17))," - ")</f>
        <v>1.0454545454545454</v>
      </c>
      <c r="H17" s="233">
        <f>IF(ISNUMBER((Datos!M17-Datos!W17)/Datos!W17),(Datos!M17-Datos!W17)/Datos!W17," - ")</f>
        <v>1.25</v>
      </c>
      <c r="I17" s="353">
        <f>IF(ISNUMBER((Tasas!C17-Datos!BE17)/Datos!BE17),(Tasas!C17-Datos!BE17)/Datos!BE17," - ")</f>
        <v>0.90724815724815744</v>
      </c>
      <c r="J17" s="352">
        <f>IF(ISNUMBER((Tasas!D17-Datos!BF17)/Datos!BF17),(Tasas!D17-Datos!BF17)/Datos!BF17," - ")</f>
        <v>1.097972972972973</v>
      </c>
      <c r="K17" s="354">
        <f>IF(ISNUMBER((Tasas!E17-Datos!BG17)/Datos!BG17),(Tasas!E17-Datos!BG17)/Datos!BG17," - ")</f>
        <v>0.21933471933471926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2.0583190394511151E-2</v>
      </c>
      <c r="E18" s="357">
        <f>IF(ISNUMBER(
   IF(D_I="SI",(Datos!J18-Datos!T18)/Datos!T18,(Datos!J18+Datos!AD18-(Datos!T18+Datos!AL18))/(Datos!T18+Datos!AL18))
     ),IF(D_I="SI",(Datos!J18-Datos!T18)/Datos!T18,(Datos!J18+Datos!AD18-(Datos!T18+Datos!AL18))/(Datos!T18+Datos!AL18))," - ")</f>
        <v>0.61568627450980395</v>
      </c>
      <c r="F18" s="357">
        <f>IF(ISNUMBER(
   IF(D_I="SI",(Datos!K18-Datos!U18)/Datos!U18,(Datos!K18+Datos!AE18-(Datos!U18+Datos!AM18))/(Datos!U18+Datos!AM18))
     ),IF(D_I="SI",(Datos!K18-Datos!U18)/Datos!U18,(Datos!K18+Datos!AE18-(Datos!U18+Datos!AM18))/(Datos!U18+Datos!AM18))," - ")</f>
        <v>0.39212007504690433</v>
      </c>
      <c r="G18" s="358">
        <f>IF(ISNUMBER(
   IF(D_I="SI",(Datos!L18-Datos!V18)/Datos!V18,(Datos!L18+Datos!AF18-(Datos!V18+Datos!AN18))/(Datos!V18+Datos!AN18))
     ),IF(D_I="SI",(Datos!L18-Datos!V18)/Datos!V18,(Datos!L18+Datos!AF18-(Datos!V18+Datos!AN18))/(Datos!V18+Datos!AN18))," - ")</f>
        <v>0.22711267605633803</v>
      </c>
      <c r="H18" s="359">
        <f>IF(ISNUMBER((Datos!M18-Datos!W18)/Datos!W18),(Datos!M18-Datos!W18)/Datos!W18," - ")</f>
        <v>-6.25E-2</v>
      </c>
      <c r="I18" s="360">
        <f>IF(ISNUMBER((Tasas!C18-Datos!BE18)/Datos!BE18),(Tasas!C18-Datos!BE18)/Datos!BE18," - ")</f>
        <v>-0.11852957366842572</v>
      </c>
      <c r="J18" s="358">
        <f>IF(ISNUMBER((Tasas!D18-Datos!BF18)/Datos!BF18),(Tasas!D18-Datos!BF18)/Datos!BF18," - ")</f>
        <v>-0.32656671159029649</v>
      </c>
      <c r="K18" s="361">
        <f>IF(ISNUMBER((Tasas!E18-Datos!BG18)/Datos!BG18),(Tasas!E18-Datos!BG18)/Datos!BG18," - ")</f>
        <v>-6.7421202802445318E-2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0.22552447552447552</v>
      </c>
      <c r="E19" s="366">
        <f>IF(ISNUMBER(
   IF(J_V="SI",(Datos!J19-Datos!T19)/Datos!T19,(Datos!J19+Datos!Z19-(Datos!T19+Datos!AH19))/(Datos!T19+Datos!AH19))
     ),IF(J_V="SI",(Datos!J19-Datos!T19)/Datos!T19,(Datos!J19+Datos!Z19-(Datos!T19+Datos!AH19))/(Datos!T19+Datos!AH19))," - ")</f>
        <v>0.26418604651162791</v>
      </c>
      <c r="F19" s="366">
        <f>IF(ISNUMBER(
   IF(J_V="SI",(Datos!K19-Datos!U19)/Datos!U19,(Datos!K19+Datos!AA19-(Datos!U19+Datos!AI19))/(Datos!U19+Datos!AI19))
     ),IF(J_V="SI",(Datos!K19-Datos!U19)/Datos!U19,(Datos!K19+Datos!AA19-(Datos!U19+Datos!AI19))/(Datos!U19+Datos!AI19))," - ")</f>
        <v>0.16968541468064824</v>
      </c>
      <c r="G19" s="367">
        <f>IF(ISNUMBER(
   IF(J_V="SI",(Datos!L19-Datos!V19)/Datos!V19,(Datos!L19+Datos!AB19-(Datos!V19+Datos!AJ19))/(Datos!V19+Datos!AJ19))
     ),IF(J_V="SI",(Datos!L19-Datos!V19)/Datos!V19,(Datos!L19+Datos!AB19-(Datos!V19+Datos!AJ19))/(Datos!V19+Datos!AJ19))," - ")</f>
        <v>0.28857142857142859</v>
      </c>
      <c r="H19" s="368">
        <f>IF(ISNUMBER((Datos!M19-Datos!W19)/Datos!W19),(Datos!M19-Datos!W19)/Datos!W19," - ")</f>
        <v>0.14438502673796791</v>
      </c>
      <c r="I19" s="365">
        <f>IF(ISNUMBER((Tasas!C19-Datos!BE19)/Datos!BE19),(Tasas!C19-Datos!BE19)/Datos!BE19," - ")</f>
        <v>0.10163930608918392</v>
      </c>
      <c r="J19" s="366">
        <f>IF(ISNUMBER((Tasas!D19-Datos!BF19)/Datos!BF19),(Tasas!D19-Datos!BF19)/Datos!BF19," - ")</f>
        <v>-0.27970403455069343</v>
      </c>
      <c r="K19" s="367">
        <f>IF(ISNUMBER((Tasas!E19-Datos!BG19)/Datos!BG19),(Tasas!E19-Datos!BG19)/Datos!BG19," - ")</f>
        <v>6.046942714050297E-2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0.46550230931824788</v>
      </c>
      <c r="E21" s="281">
        <f t="shared" si="1"/>
        <v>0.27334764023676827</v>
      </c>
      <c r="F21" s="281">
        <f t="shared" si="1"/>
        <v>0.34206706193780989</v>
      </c>
      <c r="G21" s="282">
        <f t="shared" si="1"/>
        <v>0.42545907449350495</v>
      </c>
      <c r="H21" s="288">
        <f t="shared" si="1"/>
        <v>0.56189350125796211</v>
      </c>
      <c r="I21" s="280">
        <f t="shared" si="1"/>
        <v>0.42580127850692223</v>
      </c>
      <c r="J21" s="281">
        <f t="shared" si="1"/>
        <v>0.62432169367014256</v>
      </c>
      <c r="K21" s="282">
        <f t="shared" si="1"/>
        <v>0.23511248611971378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d6TZR+GIN7lUz026nFGPl1BDzaublkcUS0RE8xiYz+QAvNe1/wovkqGvUFfcnzmtCB/5frfjh/GL9wFIcsKcA==" saltValue="l4zTlyIld2pRqrLx2Qsj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